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uyuwkCYTKrhNKgXJBrnjyUNe1B8ztcsFl9/ECnt7dRta1c99yDHbDocIvxyxc8mIWVqVGf6rIt3y0yGhPT2uPw==" workbookSaltValue="Sl1Tet+1IvoE7K9pcus9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S19" i="8"/>
  <c r="AL16" i="11"/>
  <c r="C16" i="6"/>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J20" i="20"/>
  <c r="AV20" i="20"/>
  <c r="AE20" i="20"/>
  <c r="AB20" i="20"/>
  <c r="Y20" i="20"/>
  <c r="I20" i="20"/>
  <c r="W20" i="21"/>
  <c r="AZ20" i="20"/>
  <c r="J20" i="20"/>
  <c r="R20" i="20"/>
  <c r="U10" i="11"/>
  <c r="U16" i="11"/>
  <c r="AM20" i="20"/>
  <c r="G13" i="14"/>
  <c r="X20" i="20"/>
  <c r="P20" i="20"/>
  <c r="L20" i="20"/>
  <c r="AN20" i="20"/>
  <c r="M20" i="20"/>
  <c r="AO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K20" i="17"/>
  <c r="P20" i="11"/>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<sst xmlns="http://schemas.openxmlformats.org/spreadsheetml/2006/main" count="2102" uniqueCount="918">
  <si>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</si>
  <si>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</si>
  <si>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</si>
  <si>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</si>
  <si>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</si>
  <si>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</si>
  <si>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</si>
  <si>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</si>
  <si>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</si>
  <si>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</si>
  <si>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</si>
  <si>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</si>
  <si>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</si>
  <si>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</si>
  <si>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</si>
  <si>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</si>
  <si>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</si>
  <si>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</si>
  <si>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</si>
  <si>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</si>
  <si>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</si>
  <si>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</si>
  <si>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</si>
  <si>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</si>
  <si>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</si>
  <si>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</si>
  <si>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</si>
  <si>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</si>
  <si>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</si>
  <si>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</si>
  <si>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</si>
  <si>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</si>
  <si>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</si>
  <si>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</si>
  <si>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</si>
  <si>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</si>
  <si>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</si>
  <si>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</si>
  <si>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</si>
  <si>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</si>
  <si>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</si>
  <si>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</si>
  <si>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</si>
  <si>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</si>
  <si>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</si>
  <si>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</si>
  <si>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</si>
  <si>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</si>
  <si>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</si>
  <si>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</si>
  <si>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</si>
  <si>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</si>
  <si>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</si>
  <si>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</si>
  <si>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</si>
  <si>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</si>
  <si>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</si>
  <si>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</si>
  <si>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</si>
  <si>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</si>
  <si>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</si>
  <si>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</si>
  <si>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</si>
  <si>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</si>
  <si>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</si>
  <si>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</si>
  <si>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</si>
  <si>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</si>
  <si>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</si>
  <si>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</si>
  <si>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</si>
  <si>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</si>
  <si>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</si>
  <si>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</si>
  <si>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</si>
  <si>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</si>
  <si>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</si>
  <si>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</si>
  <si>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</si>
  <si>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</si>
  <si>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</si>
  <si>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</si>
  <si>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</si>
  <si>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</si>
  <si>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</si>
  <si>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</si>
  <si>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</si>
  <si>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</si>
  <si>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</si>
  <si>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</si>
  <si>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</si>
  <si>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</si>
  <si>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</si>
  <si>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</si>
  <si>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</si>
  <si>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</si>
  <si>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</si>
  <si>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</si>
  <si>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</si>
  <si>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</si>
  <si>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</si>
  <si>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</si>
  <si>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</si>
  <si>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</si>
  <si>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</si>
  <si>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</si>
  <si>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</si>
  <si>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</si>
  <si>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</si>
  <si>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</si>
  <si>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</si>
  <si>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</si>
  <si>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</si>
  <si>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</si>
  <si>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</si>
  <si>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</si>
  <si>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</si>
  <si>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</si>
  <si>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</si>
  <si>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</si>
  <si>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</si>
  <si>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</si>
  <si>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</si>
  <si>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</si>
  <si>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</si>
  <si>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</si>
  <si>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</si>
  <si>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</si>
  <si>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</si>
  <si>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</si>
  <si>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</si>
  <si>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</si>
  <si>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</si>
  <si>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</si>
  <si>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</si>
  <si>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</si>
  <si>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</si>
  <si>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</si>
  <si>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</si>
  <si>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</si>
  <si>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</si>
  <si>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</si>
  <si>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</si>
  <si>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</si>
  <si>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</si>
  <si>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</si>
  <si>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</si>
  <si>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</si>
  <si>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</si>
  <si>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</si>
  <si>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</si>
  <si>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</si>
  <si>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</si>
  <si>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</si>
  <si>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</si>
  <si>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</si>
  <si>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</si>
  <si>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</si>
  <si>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</si>
  <si>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</si>
  <si>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</si>
  <si>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</si>
  <si>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</si>
  <si>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</si>
  <si>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</si>
  <si>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</si>
  <si>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</si>
  <si>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</si>
  <si>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</si>
  <si>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</si>
  <si>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</si>
  <si>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</si>
  <si>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</si>
  <si>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</si>
  <si>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</si>
  <si>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</si>
  <si>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</si>
  <si>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</si>
  <si>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</si>
  <si>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</si>
  <si>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</si>
  <si>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</si>
  <si>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</si>
  <si>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</si>
  <si>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</si>
  <si>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</si>
  <si>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</si>
  <si>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</si>
  <si>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</si>
  <si>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</si>
  <si>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</si>
  <si>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</si>
  <si>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</si>
  <si>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</si>
  <si>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</si>
  <si>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</si>
  <si>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</si>
  <si>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</si>
  <si>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</si>
  <si>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</si>
  <si>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</si>
  <si>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</si>
  <si>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</si>
  <si>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</si>
  <si>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</si>
  <si>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</si>
  <si>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</si>
  <si>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</si>
  <si>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</si>
  <si>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</si>
  <si>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</si>
  <si>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</si>
  <si>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</si>
  <si>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</si>
  <si>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</si>
  <si>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</si>
  <si>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</si>
  <si>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</si>
  <si>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</si>
  <si>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</si>
  <si>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</si>
  <si>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</si>
  <si>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</si>
  <si>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</si>
  <si>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</si>
  <si>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</si>
  <si>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</si>
  <si>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</si>
  <si>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</si>
  <si>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</si>
  <si>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</si>
  <si>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</si>
  <si>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</si>
  <si>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</si>
  <si>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</si>
  <si>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</si>
  <si>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</si>
  <si>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</si>
  <si>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</si>
  <si>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</si>
  <si>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</si>
  <si>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</si>
  <si>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</si>
  <si>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</si>
  <si>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</si>
  <si>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</si>
  <si>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</si>
  <si>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</si>
  <si>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</si>
  <si>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</si>
  <si>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</si>
  <si>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</si>
  <si>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</si>
  <si>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</si>
  <si>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</si>
  <si>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</si>
  <si>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</si>
  <si>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</si>
  <si>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</si>
  <si>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</si>
  <si>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</si>
  <si>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</si>
  <si>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</si>
  <si>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</si>
  <si>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</si>
  <si>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</si>
  <si>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</si>
  <si>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</si>
  <si>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</si>
  <si>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</si>
  <si>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</si>
  <si>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</si>
  <si>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</si>
  <si>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</si>
  <si>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</si>
  <si>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</si>
  <si>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</si>
  <si>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</si>
  <si>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</si>
  <si>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</si>
  <si>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</si>
  <si>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</si>
  <si>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</si>
  <si>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</si>
  <si>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</si>
  <si>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</si>
  <si>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</si>
  <si>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</si>
  <si>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</si>
  <si>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</si>
  <si>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</si>
  <si>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</si>
  <si>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</si>
  <si>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</si>
  <si>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</si>
  <si>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</si>
  <si>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</si>
  <si>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</si>
  <si>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</si>
  <si>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</si>
  <si>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</si>
  <si>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</si>
  <si>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</si>
  <si>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</si>
  <si>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</si>
  <si>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</si>
  <si>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</si>
  <si>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</si>
  <si>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</si>
  <si>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</si>
  <si>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</si>
  <si>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</si>
  <si>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</si>
  <si>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</si>
  <si>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</si>
  <si>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</si>
  <si>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</si>
  <si>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</si>
  <si>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</si>
  <si>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</si>
  <si>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</si>
  <si>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</si>
  <si>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</si>
  <si>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</si>
  <si>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</si>
  <si>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</si>
  <si>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</si>
  <si>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</si>
  <si>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</si>
  <si>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</si>
  <si>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</si>
  <si>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</si>
  <si>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</si>
  <si>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</si>
  <si>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</si>
  <si>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</si>
  <si>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</si>
  <si>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</si>
  <si>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</si>
  <si>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</si>
  <si>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</si>
  <si>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</si>
  <si>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</si>
  <si>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</si>
  <si>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</si>
  <si>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</si>
  <si>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</si>
  <si>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</si>
  <si>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</si>
  <si>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</si>
  <si>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</si>
  <si>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</si>
  <si>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</si>
  <si>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</si>
  <si>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</si>
  <si>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</si>
  <si>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</si>
  <si>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</si>
  <si>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</si>
  <si>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</si>
  <si>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</si>
  <si>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</si>
  <si>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</si>
  <si>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</si>
  <si>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</si>
  <si>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</si>
  <si>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</si>
  <si>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</si>
  <si>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</si>
  <si>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</si>
  <si>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</si>
  <si>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</si>
  <si>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</si>
  <si>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</si>
  <si>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</si>
  <si>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</si>
  <si>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</si>
  <si>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</si>
  <si>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</si>
  <si>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</si>
  <si>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</si>
  <si>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</si>
  <si>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</si>
  <si>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</si>
  <si>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</si>
  <si>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</si>
  <si>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</si>
  <si>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</si>
  <si>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</si>
  <si>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</si>
  <si>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</si>
  <si>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</si>
  <si>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</si>
  <si>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</si>
  <si>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</si>
  <si>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</si>
  <si>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</si>
  <si>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</si>
  <si>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</si>
  <si>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</si>
  <si>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</si>
  <si>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</si>
  <si>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</si>
  <si>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</si>
  <si>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</si>
  <si>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</si>
  <si>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</si>
  <si>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</si>
  <si>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</si>
  <si>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</si>
  <si>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</si>
  <si>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</si>
  <si>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</si>
  <si>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</si>
  <si>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</si>
  <si>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</si>
  <si>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</si>
  <si>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</si>
  <si>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</si>
  <si>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</si>
  <si>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</si>
  <si>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</si>
  <si>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</si>
  <si>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</si>
  <si>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</si>
  <si>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</si>
  <si>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</si>
  <si>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</si>
  <si>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</si>
  <si>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</si>
  <si>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</si>
  <si>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</si>
  <si>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</si>
  <si>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</si>
  <si>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</si>
  <si>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</si>
  <si>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</si>
  <si>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</si>
  <si>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</si>
  <si>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</si>
  <si>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</si>
  <si>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</si>
  <si>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</si>
  <si>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</si>
  <si>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</si>
  <si>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</si>
  <si>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</si>
  <si>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</si>
  <si>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</si>
  <si>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</si>
  <si>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</si>
  <si>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</si>
  <si>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</si>
  <si>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</si>
  <si>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</si>
  <si>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</si>
  <si>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</si>
  <si>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</si>
  <si>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</si>
  <si>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</si>
  <si>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</si>
  <si>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</si>
  <si>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</si>
  <si>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</si>
  <si>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</si>
  <si>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</si>
  <si>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</si>
  <si>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</si>
  <si>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</si>
  <si>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</si>
  <si>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</si>
  <si>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</si>
  <si>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</si>
  <si>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</si>
  <si>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</si>
  <si>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</si>
  <si>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</si>
  <si>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</si>
  <si>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</si>
  <si>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</si>
  <si>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</si>
  <si>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</si>
  <si>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</si>
  <si>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</si>
  <si>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</si>
  <si>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</si>
  <si>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</si>
  <si>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</si>
  <si>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</si>
  <si>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</si>
  <si>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</si>
  <si>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</si>
  <si>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</si>
  <si>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</si>
  <si>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</si>
  <si>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</si>
  <si>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</si>
  <si>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</si>
  <si>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</si>
  <si>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</si>
  <si>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</si>
  <si>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</si>
  <si>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</si>
  <si>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</si>
  <si>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</si>
  <si>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</si>
  <si>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</si>
  <si>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</si>
  <si>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</si>
  <si>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</si>
  <si>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</si>
  <si>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</si>
  <si>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</si>
  <si>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</si>
  <si>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</si>
  <si>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</si>
  <si>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</si>
  <si>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</si>
  <si>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</si>
  <si>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</si>
  <si>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</si>
  <si>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</si>
  <si>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</si>
  <si>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</si>
  <si>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</si>
  <si>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</si>
  <si>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</si>
  <si>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</si>
  <si>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</si>
  <si>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</si>
  <si>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</si>
  <si>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</si>
  <si>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</si>
  <si>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</si>
  <si>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</si>
  <si>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</si>
  <si>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</si>
  <si>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</si>
  <si>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</si>
  <si>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</si>
  <si>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</si>
  <si>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</si>
  <si>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</si>
  <si>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</si>
  <si>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</si>
  <si>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</si>
  <si>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</si>
  <si>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</si>
  <si>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</si>
  <si>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</si>
  <si>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</si>
  <si>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</si>
  <si>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</si>
  <si>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</si>
  <si>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</si>
  <si>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</si>
  <si>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</si>
  <si>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</si>
  <si>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</si>
  <si>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</si>
  <si>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</si>
  <si>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</si>
  <si>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</si>
  <si>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</si>
  <si>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</si>
  <si>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</si>
  <si>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</si>
  <si>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</si>
  <si>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</si>
  <si>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</si>
  <si>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</si>
  <si>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</si>
  <si>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</si>
  <si>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</si>
  <si>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</si>
  <si>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</si>
  <si>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</si>
  <si>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</si>
  <si>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</si>
  <si>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</si>
  <si>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</si>
  <si>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</si>
  <si>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</si>
  <si>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</si>
  <si>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</si>
  <si>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</si>
  <si>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</si>
  <si>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</si>
  <si>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</si>
  <si>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</si>
  <si>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</si>
  <si>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</si>
  <si>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</si>
  <si>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</si>
  <si>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</si>
  <si>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</si>
  <si>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</si>
  <si>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</si>
  <si>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</si>
  <si>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</si>
  <si>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</si>
  <si>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</si>
  <si>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</si>
  <si>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</si>
  <si>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</si>
  <si>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</si>
  <si>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</si>
  <si>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</si>
  <si>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</si>
  <si>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</si>
  <si>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</si>
  <si>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</si>
  <si>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</si>
  <si>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</si>
  <si>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</si>
  <si>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</si>
  <si>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</si>
  <si>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</si>
  <si>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</si>
  <si>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</si>
  <si>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</si>
  <si>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</si>
  <si>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</si>
  <si>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</si>
  <si>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</si>
  <si>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</si>
  <si>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</si>
  <si>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</si>
  <si>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</si>
  <si>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</si>
  <si>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</si>
  <si>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</si>
  <si>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</si>
  <si>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</si>
  <si>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</si>
  <si>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</si>
  <si>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</si>
  <si>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</si>
  <si>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</si>
  <si>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</si>
  <si>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</si>
  <si>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</si>
  <si>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</si>
  <si>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</si>
  <si>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</si>
  <si>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</si>
  <si>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</si>
  <si>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</si>
  <si>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</si>
  <si>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</si>
  <si>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</si>
  <si>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</si>
  <si>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</si>
  <si>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</si>
  <si>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</si>
  <si>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</si>
  <si>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</si>
  <si>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</si>
  <si>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</si>
  <si>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</si>
  <si>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</si>
  <si>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</si>
  <si>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</si>
  <si>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</si>
  <si>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</si>
  <si>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</si>
  <si>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</si>
  <si>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</si>
  <si>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</si>
  <si>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</si>
  <si>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</si>
  <si>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</si>
  <si>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</si>
  <si>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</si>
  <si>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</si>
  <si>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</si>
  <si>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</si>
  <si>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</si>
  <si>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</si>
  <si>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</si>
  <si>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</si>
  <si>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</si>
  <si>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</si>
  <si>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</si>
  <si>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</si>
  <si>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</si>
  <si>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</si>
  <si>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</si>
  <si>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</si>
  <si>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</si>
  <si>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</si>
  <si>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</si>
  <si>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</si>
  <si>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</si>
  <si>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</si>
  <si>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</si>
  <si>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</si>
  <si>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</si>
  <si>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</si>
  <si>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</si>
  <si>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</si>
  <si>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</si>
  <si>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</si>
  <si>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</si>
  <si>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</si>
  <si>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</si>
  <si>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</si>
  <si>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</si>
  <si>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</si>
  <si>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</si>
  <si>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</si>
  <si>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</si>
  <si>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</si>
  <si>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</si>
  <si>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</si>
  <si>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</si>
  <si>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</si>
  <si>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</si>
  <si>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</si>
  <si>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</si>
  <si>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</si>
  <si>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</si>
  <si>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</si>
  <si>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</si>
  <si>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</si>
  <si>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</si>
  <si>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</si>
  <si>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</si>
  <si>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</si>
  <si>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</si>
  <si>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</si>
  <si>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</si>
  <si>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</si>
  <si>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</si>
  <si>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</si>
  <si>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</si>
  <si>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</si>
  <si>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</si>
  <si>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</si>
  <si>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</si>
  <si>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</si>
  <si>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</si>
  <si>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</si>
  <si>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</si>
  <si>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</si>
  <si>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</si>
  <si>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</si>
  <si>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</si>
  <si>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</si>
  <si>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</si>
  <si>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</si>
  <si>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</si>
  <si>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</si>
  <si>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</si>
  <si>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</si>
  <si>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</si>
  <si>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</si>
  <si>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</si>
  <si>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</si>
  <si>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</si>
  <si>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</si>
  <si>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</si>
  <si>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</si>
  <si>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</si>
  <si>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</si>
  <si>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</si>
  <si>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</si>
  <si>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</si>
  <si>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</si>
  <si>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</si>
  <si>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</si>
  <si>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</si>
  <si>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</si>
  <si>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</si>
  <si>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</si>
  <si>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</si>
  <si>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</si>
  <si>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</si>
  <si>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</si>
  <si>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</si>
  <si>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</si>
  <si>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</si>
  <si>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</si>
  <si>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</si>
  <si>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</si>
  <si>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</si>
  <si>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</si>
  <si>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</si>
  <si>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</si>
  <si>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</si>
  <si>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</si>
  <si>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</si>
  <si>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</si>
  <si>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</si>
  <si>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</si>
  <si>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</si>
  <si>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</si>
  <si>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</si>
  <si>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</si>
  <si>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</si>
  <si>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</si>
  <si>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</si>
  <si>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</si>
  <si>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</si>
  <si>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</si>
  <si>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</si>
  <si>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</si>
  <si>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</si>
  <si>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</si>
  <si>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</si>
  <si>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</si>
  <si>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</si>
  <si>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</si>
  <si>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</si>
  <si>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</si>
  <si>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</si>
  <si>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</si>
  <si>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</si>
  <si>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</si>
  <si>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</si>
  <si>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</si>
  <si>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</si>
  <si>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</si>
  <si>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</si>
  <si>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</si>
  <si>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</si>
  <si>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</si>
  <si>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</si>
  <si>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</si>
  <si>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</si>
  <si>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</si>
  <si>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</si>
  <si>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</si>
  <si>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</si>
  <si>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</si>
  <si>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</si>
  <si>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</si>
  <si>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</si>
  <si>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</si>
  <si>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</si>
  <si>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</si>
  <si>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</si>
  <si>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</si>
  <si>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</si>
  <si>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</si>
  <si>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</si>
  <si>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</si>
  <si>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</si>
  <si>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</si>
  <si>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</si>
  <si>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</si>
  <si>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</si>
  <si>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</si>
  <si>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</si>
  <si>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</si>
  <si>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</si>
  <si>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</si>
  <si>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</si>
  <si>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</si>
  <si>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</si>
  <si>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</si>
  <si>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</si>
  <si>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</si>
  <si>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</si>
  <si>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</si>
  <si>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</si>
  <si>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</si>
  <si>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</si>
  <si>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</si>
  <si>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</si>
  <si>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</si>
  <si>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</si>
  <si>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</si>
  <si>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</si>
  <si>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</si>
  <si>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</si>
  <si>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</si>
  <si>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</si>
  <si>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</si>
  <si>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</si>
  <si>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</si>
  <si>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</si>
  <si>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</si>
  <si>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</si>
  <si>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</si>
  <si>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</si>
  <si>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</si>
  <si>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</si>
  <si>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</si>
  <si>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</si>
  <si>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</si>
  <si>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</si>
  <si>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</si>
  <si>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</si>
  <si>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</si>
  <si>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</si>
  <si>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</si>
  <si>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</si>
  <si>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</si>
  <si>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</si>
  <si>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</si>
  <si>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</si>
  <si>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</si>
  <si>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</si>
  <si>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</si>
  <si>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</si>
  <si>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</si>
  <si>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</si>
  <si>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</si>
  <si>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</si>
  <si>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</si>
  <si>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</si>
  <si>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</si>
  <si>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</si>
  <si>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</si>
  <si>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</si>
  <si>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</si>
  <si>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BALMASEDA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</si>
</sst>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w937KxRNMxc6EfZToZZZjuh2FddbWMhnQpic6JeC5nbeFWLNnSiDQOpABTeh7I8IJKFwbO6M7mgpcm1TGNPsw==" saltValue="sZI6SBYjWX9e2C6sOtw3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BALMASEDA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4</v>
      </c>
      <c r="F10" s="404">
        <f>IF(ISNUMBER(E10/B10),E10/B10," - ")</f>
        <v>4</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584</v>
      </c>
      <c r="D12" s="404">
        <f>IF(ISNUMBER(C12/Datos!BH12),C12/Datos!BH12," - ")</f>
        <v>292</v>
      </c>
      <c r="E12" s="403">
        <f>IF(ISNUMBER(IF(J_V="SI",Datos!J12,Datos!J12+Datos!Z12)),IF(J_V="SI",Datos!J12,Datos!J12+Datos!Z12)," - ")</f>
        <v>992</v>
      </c>
      <c r="F12" s="404">
        <f>IF(ISNUMBER(E12/B12),E12/B12," - ")</f>
        <v>496</v>
      </c>
      <c r="G12" s="403">
        <f>IF(ISNUMBER(IF(J_V="SI",Datos!K12,Datos!K12+Datos!AA12)),IF(J_V="SI",Datos!K12,Datos!K12+Datos!AA12)," - ")</f>
        <v>932</v>
      </c>
      <c r="H12" s="404">
        <f>IF(ISNUMBER(G12/B12),G12/B12," - ")</f>
        <v>466</v>
      </c>
      <c r="I12" s="403">
        <f>IF(ISNUMBER(IF(J_V="SI",Datos!L12,Datos!L12+Datos!AB12)),IF(J_V="SI",Datos!L12,Datos!L12+Datos!AB12)," - ")</f>
        <v>644</v>
      </c>
      <c r="J12" s="404">
        <f>IF(ISNUMBER(I12/B12),I12/B12," - ")</f>
        <v>322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590</v>
      </c>
      <c r="D13" s="850" t="str">
        <f>IF(ISNUMBER(C13/Datos!BI13),C13/Datos!BI13," - ")</f>
        <v xml:space="preserve"> - </v>
      </c>
      <c r="E13" s="849">
        <f>SUBTOTAL(9,E8:E12)</f>
        <v>996</v>
      </c>
      <c r="F13" s="850">
        <f>IF(ISNUMBER(E13/B13),E13/B13," - ")</f>
        <v>498</v>
      </c>
      <c r="G13" s="849">
        <f>SUBTOTAL(9,G8:G12)</f>
        <v>936</v>
      </c>
      <c r="H13" s="850">
        <f>IF(ISNUMBER(G13/B13),G13/B13," - ")</f>
        <v>468</v>
      </c>
      <c r="I13" s="849">
        <f>SUBTOTAL(9,I8:I12)</f>
        <v>650</v>
      </c>
      <c r="J13" s="850">
        <f>IF(ISNUMBER(I13/B13),I13/B13," - ")</f>
        <v>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751</v>
      </c>
      <c r="D16" s="404">
        <f>IF(ISNUMBER(C16/Datos!BH16),C16/Datos!BH16," - ")</f>
        <v>375.5</v>
      </c>
      <c r="E16" s="403">
        <f>IF(ISNUMBER(IF(D_I="SI",Datos!J16,Datos!J16+Datos!AD16)),IF(D_I="SI",Datos!J16,Datos!J16+Datos!AD16)," - ")</f>
        <v>885</v>
      </c>
      <c r="F16" s="404">
        <f>IF(ISNUMBER(E16/B16),E16/B16," - ")</f>
        <v>442.5</v>
      </c>
      <c r="G16" s="403">
        <f>IF(ISNUMBER(IF(D_I="SI",Datos!K16,Datos!K16+Datos!AE16)),IF(D_I="SI",Datos!K16,Datos!K16+Datos!AE16)," - ")</f>
        <v>831</v>
      </c>
      <c r="H16" s="404">
        <f>IF(ISNUMBER(G16/B16),G16/B16," - ")</f>
        <v>415.5</v>
      </c>
      <c r="I16" s="403">
        <f>IF(ISNUMBER(IF(D_I="SI",Datos!L16,Datos!L16+Datos!AF16)),IF(D_I="SI",Datos!L16,Datos!L16+Datos!AF16)," - ")</f>
        <v>809</v>
      </c>
      <c r="J16" s="404">
        <f>IF(ISNUMBER(I16/B16),I16/B16," - ")</f>
        <v>404.5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135</v>
      </c>
      <c r="F17" s="404">
        <f>IF(ISNUMBER(E17/B17),E17/B17," - ")</f>
        <v>135</v>
      </c>
      <c r="G17" s="403">
        <f>IF(ISNUMBER(IF(D_I="SI",Datos!K17,Datos!K17+Datos!AE17)),IF(D_I="SI",Datos!K17,Datos!K17+Datos!AE17)," - ")</f>
        <v>129</v>
      </c>
      <c r="H17" s="404">
        <f>IF(ISNUMBER(G17/B17),G17/B17," - ")</f>
        <v>129</v>
      </c>
      <c r="I17" s="403">
        <f>IF(ISNUMBER(IF(D_I="SI",Datos!L17,Datos!L17+Datos!AF17)),IF(D_I="SI",Datos!L17,Datos!L17+Datos!AF17)," - ")</f>
        <v>100</v>
      </c>
      <c r="J17" s="404">
        <f>IF(ISNUMBER(I17/B17),I17/B17," - ")</f>
        <v>100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845</v>
      </c>
      <c r="D18" s="850" t="str">
        <f>IF(ISNUMBER(C18/Datos!BI18),C18/Datos!BI18," - ")</f>
        <v xml:space="preserve"> - </v>
      </c>
      <c r="E18" s="849">
        <f>SUBTOTAL(9,E14:E17)</f>
        <v>1020</v>
      </c>
      <c r="F18" s="850">
        <f>IF(ISNUMBER(E18/B18),E18/B18," - ")</f>
        <v>510</v>
      </c>
      <c r="G18" s="849">
        <f>SUBTOTAL(9,G14:G17)</f>
        <v>960</v>
      </c>
      <c r="H18" s="850">
        <f>IF(ISNUMBER(G18/B18),G18/B18," - ")</f>
        <v>480</v>
      </c>
      <c r="I18" s="849">
        <f>SUBTOTAL(9,I14:I17)</f>
        <v>909</v>
      </c>
      <c r="J18" s="850">
        <f>IF(ISNUMBER(I18/B18),I18/B18," - ")</f>
        <v>454.5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1435</v>
      </c>
      <c r="D19" s="795" t="str">
        <f>IF(ISNUMBER(C19/Datos!BI19),C19/Datos!BI19," - ")</f>
        <v xml:space="preserve"> - </v>
      </c>
      <c r="E19" s="794">
        <f>SUBTOTAL(9,E9:E18)</f>
        <v>2016</v>
      </c>
      <c r="F19" s="795">
        <f>IF(ISNUMBER(E19/B19),E19/B19," - ")</f>
        <v>1008</v>
      </c>
      <c r="G19" s="794">
        <f>SUBTOTAL(9,G9:G18)</f>
        <v>1896</v>
      </c>
      <c r="H19" s="795">
        <f>IF(ISNUMBER(G19/B19),G19/B19," - ")</f>
        <v>948</v>
      </c>
      <c r="I19" s="794">
        <f>SUBTOTAL(9,I9:I18)</f>
        <v>1559</v>
      </c>
      <c r="J19" s="795">
        <f>IF(ISNUMBER(I19/B19),I19/B19," - ")</f>
        <v>779.5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TG4G9IR5WceeOhFelfyYL6jDxsRkBnVgASOv+VpK89wz4S30KdUPk42DFUjZrT+/vaHhKk06wStUhJ3q6qtcg==" saltValue="hYqdsNla/0zb/RwEhXfP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BALMASEDA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D7ucn/aK+GpXHNL3RmQQlPs1UiSTdlWyt13uHZ3AKwnMz23XSU5l5sULuoeS8PDsWKT7tmAQKC5GRbF5eGakw==" saltValue="9FlgPlDDeR5SyFwLDP+e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BALMASEDA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208</v>
      </c>
      <c r="E12" s="404">
        <f t="shared" si="0"/>
        <v>104</v>
      </c>
      <c r="F12" s="403">
        <f>IF(ISNUMBER(Datos!N12),Datos!N12," - ")</f>
        <v>387</v>
      </c>
      <c r="G12" s="404">
        <f t="shared" si="1"/>
        <v>193.5</v>
      </c>
      <c r="H12" s="403">
        <f>IF(ISNUMBER(Datos!O12),Datos!O12," - ")</f>
        <v>383</v>
      </c>
      <c r="I12" s="404">
        <f t="shared" si="2"/>
        <v>191.5</v>
      </c>
      <c r="BZ12" s="1186">
        <f>Datos!EZ12</f>
        <v>0</v>
      </c>
    </row>
    <row r="13" spans="1:78" ht="14.25" thickTop="1" thickBot="1">
      <c r="A13" s="848" t="str">
        <f>Datos!A13</f>
        <v>TOTAL</v>
      </c>
      <c r="B13" s="849">
        <f>Datos!AP13</f>
        <v>2</v>
      </c>
      <c r="C13" s="851">
        <f>Datos!AR13</f>
        <v>2</v>
      </c>
      <c r="D13" s="849">
        <f>SUBTOTAL(9,D9:D12)</f>
        <v>211</v>
      </c>
      <c r="E13" s="850">
        <f t="shared" si="0"/>
        <v>105.5</v>
      </c>
      <c r="F13" s="849">
        <f>SUBTOTAL(9,F9:F12)</f>
        <v>387</v>
      </c>
      <c r="G13" s="850">
        <f t="shared" si="1"/>
        <v>193.5</v>
      </c>
      <c r="H13" s="849">
        <f>SUBTOTAL(9,H9:H12)</f>
        <v>383</v>
      </c>
      <c r="I13" s="850">
        <f>IF(ISNUMBER(H13/B13),H13/B13," - ")</f>
        <v>191.5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107</v>
      </c>
      <c r="E16" s="404">
        <f t="shared" si="3"/>
        <v>53.5</v>
      </c>
      <c r="F16" s="403">
        <f>IF(ISNUMBER(Datos!N16),Datos!N16," - ")</f>
        <v>482</v>
      </c>
      <c r="G16" s="404">
        <f t="shared" si="4"/>
        <v>241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63</v>
      </c>
      <c r="G17" s="404">
        <f>IF(ISNUMBER(F17/B17),F17/B17," - ")</f>
        <v>63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122</v>
      </c>
      <c r="E18" s="850">
        <f t="shared" si="3"/>
        <v>61</v>
      </c>
      <c r="F18" s="849">
        <f>SUBTOTAL(9,F15:F17)</f>
        <v>545</v>
      </c>
      <c r="G18" s="850">
        <f t="shared" si="4"/>
        <v>272.5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333</v>
      </c>
      <c r="E19" s="795">
        <f>IF(ISNUMBER(D19/B19),D19/B19," - ")</f>
        <v>166.5</v>
      </c>
      <c r="F19" s="794">
        <f>SUBTOTAL(9,F8:F18)</f>
        <v>932</v>
      </c>
      <c r="G19" s="795">
        <f>IF(ISNUMBER(F19/B19),F19/B19," - ")</f>
        <v>466</v>
      </c>
      <c r="H19" s="794">
        <f>SUBTOTAL(9,H8:H18)</f>
        <v>383</v>
      </c>
      <c r="I19" s="795">
        <f>IF(ISNUMBER(H19/B19),H19/B19," - ")</f>
        <v>191.5</v>
      </c>
    </row>
    <row r="22" spans="1:78">
      <c r="A22" s="391" t="str">
        <f>Criterios!A4</f>
        <v>Fecha Informe: 28 feb. 2025</v>
      </c>
    </row>
    <row r="27" spans="1:78">
      <c r="A27" s="414"/>
    </row>
  </sheetData>
  <sheetProtection algorithmName="SHA-512" hashValue="XY1Dx+1asWRZFUUQogJEblS8VagbZNKTUSvx5r+5Jm6hWiRHujJ/X6E7gf+VnhCnOpDO00gA5c2gYzLwmXY9ig==" saltValue="t5cwMb/A4CXv/UVOhd1M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BALMASEDA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v>
      </c>
      <c r="C12" s="434">
        <f>IF(ISNUMBER(Datos!Q12),Datos!Q12," - ")</f>
        <v>146</v>
      </c>
      <c r="D12" s="408">
        <f>IF(ISNUMBER(Datos!R12),Datos!R12," - ")</f>
        <v>551</v>
      </c>
    </row>
    <row r="13" spans="1:4" ht="14.25" thickTop="1" thickBot="1">
      <c r="A13" s="848" t="str">
        <f>Datos!A13</f>
        <v>TOTAL</v>
      </c>
      <c r="B13" s="849">
        <f>SUBTOTAL(9,B9:B12)</f>
        <v>162</v>
      </c>
      <c r="C13" s="853">
        <f>SUBTOTAL(9,C9:C12)</f>
        <v>146</v>
      </c>
      <c r="D13" s="851">
        <f>SUBTOTAL(9,D9:D12)</f>
        <v>555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44</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44</v>
      </c>
      <c r="D18" s="851">
        <f>SUBTOTAL(9,D15:D17)</f>
        <v>65</v>
      </c>
    </row>
    <row r="19" spans="1:4" ht="16.5" customHeight="1" thickTop="1" thickBot="1">
      <c r="A19" s="793" t="str">
        <f>Datos!A19</f>
        <v>TOTAL JURISDICCIONES</v>
      </c>
      <c r="B19" s="798">
        <f>SUBTOTAL(9,B8:B18)</f>
        <v>196</v>
      </c>
      <c r="C19" s="799">
        <f>SUBTOTAL(9,C8:C18)</f>
        <v>190</v>
      </c>
      <c r="D19" s="800">
        <f>SUBTOTAL(9,D8:D18)</f>
        <v>620</v>
      </c>
    </row>
    <row r="20" spans="1:4" ht="7.5" customHeight="1"/>
    <row r="21" spans="1:4" ht="6" customHeight="1"/>
    <row r="22" spans="1:4">
      <c r="A22" s="391" t="str">
        <f>Criterios!A4</f>
        <v>Fecha Informe: 28 feb. 2025</v>
      </c>
    </row>
    <row r="27" spans="1:4">
      <c r="A27" s="414"/>
    </row>
  </sheetData>
  <sheetProtection algorithmName="SHA-512" hashValue="e03f8IVHTKaY+9G/n+vaqpU2OCDZy0BTdZNGd6mKHumrNAc8tVgh9WeIHbsa4zhh99ZkP4FYDvkAg05VXzo4Xg==" saltValue="MMaxe6PeYeGTnBa/Qwoh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BALMASEDA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3</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0.22689075630252101</v>
      </c>
      <c r="C12" s="456">
        <f>IF(ISNUMBER(
   IF(J_V="SI",(Datos!J12-Datos!T12)/Datos!T12,(Datos!J12+Datos!Z12-(Datos!T12+Datos!AH12))/(Datos!T12+Datos!AH12))
     ),IF(J_V="SI",(Datos!J12-Datos!T12)/Datos!T12,(Datos!J12+Datos!Z12-(Datos!T12+Datos!AH12))/(Datos!T12+Datos!AH12))," - ")</f>
        <v>0.21717791411042944</v>
      </c>
      <c r="D12" s="456">
        <f>IF(ISNUMBER(
   IF(J_V="SI",(Datos!K12-Datos!U12)/Datos!U12,(Datos!K12+Datos!AA12-(Datos!U12+Datos!AI12))/(Datos!U12+Datos!AI12))
     ),IF(J_V="SI",(Datos!K12-Datos!U12)/Datos!U12,(Datos!K12+Datos!AA12-(Datos!U12+Datos!AI12))/(Datos!U12+Datos!AI12))," - ")</f>
        <v>0.31824611032531824</v>
      </c>
      <c r="E12" s="456">
        <f>IF(ISNUMBER(
   IF(J_V="SI",(Datos!L12-Datos!V12)/Datos!V12,(Datos!L12+Datos!AB12-(Datos!V12+Datos!AJ12))/(Datos!V12+Datos!AJ12))
     ),IF(J_V="SI",(Datos!L12-Datos!V12)/Datos!V12,(Datos!L12+Datos!AB12-(Datos!V12+Datos!AJ12))/(Datos!V12+Datos!AJ12))," - ")</f>
        <v>0.10273972602739725</v>
      </c>
      <c r="F12" s="456">
        <f>IF(ISNUMBER((Datos!M12-Datos!W12)/Datos!W12),(Datos!M12-Datos!W12)/Datos!W12," - ")</f>
        <v>0.15555555555555556</v>
      </c>
      <c r="G12" s="457">
        <f>IF(ISNUMBER((Datos!N12-Datos!X12)/Datos!X12),(Datos!N12-Datos!X12)/Datos!X12," - ")</f>
        <v>0.26885245901639343</v>
      </c>
      <c r="H12" s="455">
        <f>IF(ISNUMBER(((NºAsuntos!G12/NºAsuntos!E12)-Datos!BD12)/Datos!BD12),((NºAsuntos!G12/NºAsuntos!E12)-Datos!BD12)/Datos!BD12," - ")</f>
        <v>8.3034858785417789E-2</v>
      </c>
      <c r="I12" s="456">
        <f>IF(ISNUMBER(((NºAsuntos!I12/NºAsuntos!G12)-Datos!BE12)/Datos!BE12),((NºAsuntos!I12/NºAsuntos!G12)-Datos!BE12)/Datos!BE12," - ")</f>
        <v>-0.16347962843200661</v>
      </c>
      <c r="J12" s="461">
        <f>IF(ISNUMBER((('Resol  Asuntos'!D12/NºAsuntos!G12)-Datos!BF12)/Datos!BF12),(('Resol  Asuntos'!D12/NºAsuntos!G12)-Datos!BF12)/Datos!BF12," - ")</f>
        <v>-0.48267079434320692</v>
      </c>
      <c r="K12" s="462">
        <f>IF(ISNUMBER((((NºAsuntos!C12+NºAsuntos!E12)/NºAsuntos!G12)-Datos!BG12)/Datos!BG12),(((NºAsuntos!C12+NºAsuntos!E12)/NºAsuntos!G12)-Datos!BG12)/Datos!BG12," - ")</f>
        <v>-7.3952054999451539E-2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0.22661122661122662</v>
      </c>
      <c r="C13" s="855">
        <f>IF(ISNUMBER(
   IF(J_V="SI",(Datos!J13-Datos!T13)/Datos!T13,(Datos!J13+Datos!Z13-(Datos!T13+Datos!AH13))/(Datos!T13+Datos!AH13))
     ),IF(J_V="SI",(Datos!J13-Datos!T13)/Datos!T13,(Datos!J13+Datos!Z13-(Datos!T13+Datos!AH13))/(Datos!T13+Datos!AH13))," - ")</f>
        <v>0.22058823529411764</v>
      </c>
      <c r="D13" s="855">
        <f>IF(ISNUMBER(
   IF(J_V="SI",(Datos!K13-Datos!U13)/Datos!U13,(Datos!K13+Datos!AA13-(Datos!U13+Datos!AI13))/(Datos!U13+Datos!AI13))
     ),IF(J_V="SI",(Datos!K13-Datos!U13)/Datos!U13,(Datos!K13+Datos!AA13-(Datos!U13+Datos!AI13))/(Datos!U13+Datos!AI13))," - ")</f>
        <v>0.32390381895332393</v>
      </c>
      <c r="E13" s="855">
        <f>IF(ISNUMBER(
   IF(J_V="SI",(Datos!L13-Datos!V13)/Datos!V13,(Datos!L13+Datos!AB13-(Datos!V13+Datos!AJ13))/(Datos!V13+Datos!AJ13))
     ),IF(J_V="SI",(Datos!L13-Datos!V13)/Datos!V13,(Datos!L13+Datos!AB13-(Datos!V13+Datos!AJ13))/(Datos!V13+Datos!AJ13))," - ")</f>
        <v>0.10169491525423729</v>
      </c>
      <c r="F13" s="856">
        <f>IF(ISNUMBER((Datos!M13-Datos!W13)/Datos!W13),(Datos!M13-Datos!W13)/Datos!W13," - ")</f>
        <v>0.17222222222222222</v>
      </c>
      <c r="G13" s="857">
        <f>IF(ISNUMBER((Datos!N13-Datos!X13)/Datos!X13),(Datos!N13-Datos!X13)/Datos!X13," - ")</f>
        <v>0.26885245901639343</v>
      </c>
      <c r="H13" s="857">
        <f>IF(ISNUMBER(((NºAsuntos!G13/NºAsuntos!E13)-Datos!BD13)/Datos!BD13),((NºAsuntos!G13/NºAsuntos!E13)-Datos!BD13)/Datos!BD13," - ")</f>
        <v>8.4644092636458126E-2</v>
      </c>
      <c r="I13" s="857">
        <f>IF(ISNUMBER(((NºAsuntos!I13/NºAsuntos!G13)-Datos!BE13)/Datos!BE13),((NºAsuntos!I13/NºAsuntos!G13)-Datos!BE13)/Datos!BE13," - ")</f>
        <v>-0.16784369114877587</v>
      </c>
      <c r="J13" s="857">
        <f>IF(ISNUMBER((('Resol  Asuntos'!D13/NºAsuntos!G13)-Datos!BF13)/Datos!BF13),(('Resol  Asuntos'!D13/NºAsuntos!G13)-Datos!BF13)/Datos!BF13," - ")</f>
        <v>-0.47745201064873199</v>
      </c>
      <c r="K13" s="857">
        <f>IF(ISNUMBER((((NºAsuntos!C13+NºAsuntos!E13)/NºAsuntos!G13)-Datos!BG13)/Datos!BG13),(((NºAsuntos!C13+NºAsuntos!E13)/NºAsuntos!G13)-Datos!BG13)/Datos!BG13," - ")</f>
        <v>-7.6351409234986706E-2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9.3158660844250368E-2</v>
      </c>
      <c r="C16" s="456">
        <f>IF(ISNUMBER(
   IF(D_I="SI",(Datos!J16-Datos!T16)/Datos!T16,(Datos!J16+Datos!AD16-(Datos!T16+Datos!AL16))/(Datos!T16+Datos!AL16))
     ),IF(D_I="SI",(Datos!J16-Datos!T16)/Datos!T16,(Datos!J16+Datos!AD16-(Datos!T16+Datos!AL16))/(Datos!T16+Datos!AL16))," - ")</f>
        <v>1.7241379310344827E-2</v>
      </c>
      <c r="D16" s="456">
        <f>IF(ISNUMBER(
   IF(D_I="SI",(Datos!K16-Datos!U16)/Datos!U16,(Datos!K16+Datos!AE16-(Datos!U16+Datos!AM16))/(Datos!U16+Datos!AM16))
     ),IF(D_I="SI",(Datos!K16-Datos!U16)/Datos!U16,(Datos!K16+Datos!AE16-(Datos!U16+Datos!AM16))/(Datos!U16+Datos!AM16))," - ")</f>
        <v>8.4951456310679609E-3</v>
      </c>
      <c r="E16" s="456">
        <f>IF(ISNUMBER(
   IF(D_I="SI",(Datos!L16-Datos!V16)/Datos!V16,(Datos!L16+Datos!AF16-(Datos!V16+Datos!AN16))/(Datos!V16+Datos!AN16))
     ),IF(D_I="SI",(Datos!L16-Datos!V16)/Datos!V16,(Datos!L16+Datos!AF16-(Datos!V16+Datos!AN16))/(Datos!V16+Datos!AN16))," - ")</f>
        <v>7.7230359520639141E-2</v>
      </c>
      <c r="F16" s="456">
        <f>IF(ISNUMBER((Datos!M16-Datos!W16)/Datos!W16),(Datos!M16-Datos!W16)/Datos!W16," - ")</f>
        <v>-0.25174825174825177</v>
      </c>
      <c r="G16" s="457">
        <f>IF(ISNUMBER((Datos!N16-Datos!X16)/Datos!X16),(Datos!N16-Datos!X16)/Datos!X16," - ")</f>
        <v>-2.070393374741201E-3</v>
      </c>
      <c r="H16" s="455">
        <f>IF(ISNUMBER(((NºAsuntos!G16/NºAsuntos!E16)-Datos!BD16)/Datos!BD16),((NºAsuntos!G16/NºAsuntos!E16)-Datos!BD16)/Datos!BD16," - ")</f>
        <v>-8.5979924304756469E-3</v>
      </c>
      <c r="I16" s="456">
        <f>IF(ISNUMBER(((NºAsuntos!I16/NºAsuntos!G16)-Datos!BE16)/Datos!BE16),((NºAsuntos!I16/NºAsuntos!G16)-Datos!BE16)/Datos!BE16," - ")</f>
        <v>6.8156216901331737E-2</v>
      </c>
      <c r="J16" s="461">
        <f>IF(ISNUMBER((('Resol  Asuntos'!D16/NºAsuntos!G16)-Datos!BF16)/Datos!BF16),(('Resol  Asuntos'!D16/NºAsuntos!G16)-Datos!BF16)/Datos!BF16," - ")</f>
        <v>-0.2580512147299151</v>
      </c>
      <c r="K16" s="462">
        <f>IF(ISNUMBER((((NºAsuntos!C16+NºAsuntos!E16)/NºAsuntos!G16)-Datos!BG16)/Datos!BG16),(((NºAsuntos!C16+NºAsuntos!E16)/NºAsuntos!G16)-Datos!BG16)/Datos!BG16," - ")</f>
        <v>4.1887612869019812E-2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0.23684210526315788</v>
      </c>
      <c r="C17" s="456">
        <f>IF(ISNUMBER(
   IF(D_I="SI",(Datos!J17-Datos!T17)/Datos!T17,(Datos!J17+Datos!AD17-(Datos!T17+Datos!AL17))/(Datos!T17+Datos!AL17))
     ),IF(D_I="SI",(Datos!J17-Datos!T17)/Datos!T17,(Datos!J17+Datos!AD17-(Datos!T17+Datos!AL17))/(Datos!T17+Datos!AL17))," - ")</f>
        <v>0.18421052631578946</v>
      </c>
      <c r="D17" s="456">
        <f>IF(ISNUMBER(
   IF(D_I="SI",(Datos!K17-Datos!U17)/Datos!U17,(Datos!K17+Datos!AE17-(Datos!U17+Datos!AM17))/(Datos!U17+Datos!AM17))
     ),IF(D_I="SI",(Datos!K17-Datos!U17)/Datos!U17,(Datos!K17+Datos!AE17-(Datos!U17+Datos!AM17))/(Datos!U17+Datos!AM17))," - ")</f>
        <v>0.34375</v>
      </c>
      <c r="E17" s="456">
        <f>IF(ISNUMBER(
   IF(D_I="SI",(Datos!L17-Datos!V17)/Datos!V17,(Datos!L17+Datos!AF17-(Datos!V17+Datos!AN17))/(Datos!V17+Datos!AN17))
     ),IF(D_I="SI",(Datos!L17-Datos!V17)/Datos!V17,(Datos!L17+Datos!AF17-(Datos!V17+Datos!AN17))/(Datos!V17+Datos!AN17))," - ")</f>
        <v>6.3829787234042548E-2</v>
      </c>
      <c r="F17" s="456">
        <f>IF(ISNUMBER((Datos!M17-Datos!W17)/Datos!W17),(Datos!M17-Datos!W17)/Datos!W17," - ")</f>
        <v>0.5</v>
      </c>
      <c r="G17" s="457">
        <f>IF(ISNUMBER((Datos!N17-Datos!X17)/Datos!X17),(Datos!N17-Datos!X17)/Datos!X17," - ")</f>
        <v>0.4</v>
      </c>
      <c r="H17" s="455">
        <f>IF(ISNUMBER(((NºAsuntos!G17/NºAsuntos!E17)-Datos!BD17)/Datos!BD17),((NºAsuntos!G17/NºAsuntos!E17)-Datos!BD17)/Datos!BD17," - ")</f>
        <v>0.13472222222222235</v>
      </c>
      <c r="I17" s="456">
        <f>IF(ISNUMBER(((NºAsuntos!I17/NºAsuntos!G17)-Datos!BE17)/Datos!BE17),((NºAsuntos!I17/NºAsuntos!G17)-Datos!BE17)/Datos!BE17," - ")</f>
        <v>-0.20831271647699151</v>
      </c>
      <c r="J17" s="461">
        <f>IF(ISNUMBER((('Resol  Asuntos'!D17/NºAsuntos!G17)-Datos!BF17)/Datos!BF17),(('Resol  Asuntos'!D17/NºAsuntos!G17)-Datos!BF17)/Datos!BF17," - ")</f>
        <v>0.11627906976744179</v>
      </c>
      <c r="K17" s="462">
        <f>IF(ISNUMBER((((NºAsuntos!C17+NºAsuntos!E17)/NºAsuntos!G17)-Datos!BG17)/Datos!BG17),(((NºAsuntos!C17+NºAsuntos!E17)/NºAsuntos!G17)-Datos!BG17)/Datos!BG17," - ")</f>
        <v>-0.10305997552019584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0.10747051114023591</v>
      </c>
      <c r="C18" s="855">
        <f>IF(ISNUMBER(
   IF(Criterios!B14="SI",(Datos!J18-Datos!T18)/Datos!T18,(Datos!J18+Datos!AD18-(Datos!T18+Datos!AL18))/(Datos!T18+Datos!AL18))
     ),IF(Criterios!B14="SI",(Datos!J18-Datos!T18)/Datos!T18,(Datos!J18+Datos!AD18-(Datos!T18+Datos!AL18))/(Datos!T18+Datos!AL18))," - ")</f>
        <v>3.6585365853658534E-2</v>
      </c>
      <c r="D18" s="855">
        <f>IF(ISNUMBER(
   IF(Criterios!B14="SI",(Datos!K18-Datos!U18)/Datos!U18,(Datos!K18+Datos!AE18-(Datos!U18+Datos!AM18))/(Datos!U18+Datos!AM18))
     ),IF(Criterios!B14="SI",(Datos!K18-Datos!U18)/Datos!U18,(Datos!K18+Datos!AE18-(Datos!U18+Datos!AM18))/(Datos!U18+Datos!AM18))," - ")</f>
        <v>4.3478260869565216E-2</v>
      </c>
      <c r="E18" s="855">
        <f>IF(ISNUMBER(
   IF(Criterios!B14="SI",(Datos!L18-Datos!V18)/Datos!V18,(Datos!L18+Datos!AF18-(Datos!V18+Datos!AN18))/(Datos!V18+Datos!AN18))
     ),IF(Criterios!B14="SI",(Datos!L18-Datos!V18)/Datos!V18,(Datos!L18+Datos!AF18-(Datos!V18+Datos!AN18))/(Datos!V18+Datos!AN18))," - ")</f>
        <v>7.5739644970414202E-2</v>
      </c>
      <c r="F18" s="856">
        <f>IF(ISNUMBER((Datos!M18-Datos!W18)/Datos!W18),(Datos!M18-Datos!W18)/Datos!W18," - ")</f>
        <v>-0.20261437908496732</v>
      </c>
      <c r="G18" s="857">
        <f>IF(ISNUMBER((Datos!N18-Datos!X18)/Datos!X18),(Datos!N18-Datos!X18)/Datos!X18," - ")</f>
        <v>3.2196969696969696E-2</v>
      </c>
      <c r="H18" s="857">
        <f>IF(ISNUMBER(((NºAsuntos!G18/NºAsuntos!E18)-Datos!BD18)/Datos!BD18),((NºAsuntos!G18/NºAsuntos!E18)-Datos!BD18)/Datos!BD18," - ")</f>
        <v>6.6496163682864531E-3</v>
      </c>
      <c r="I18" s="857">
        <f>IF(ISNUMBER(((NºAsuntos!I18/NºAsuntos!G18)-Datos!BE18)/Datos!BE18),((NºAsuntos!I18/NºAsuntos!G18)-Datos!BE18)/Datos!BE18," - ")</f>
        <v>3.0917159763313665E-2</v>
      </c>
      <c r="J18" s="857">
        <f>IF(ISNUMBER((('Resol  Asuntos'!D18/NºAsuntos!G18)-Datos!BF18)/Datos!BF18),(('Resol  Asuntos'!D18/NºAsuntos!G18)-Datos!BF18)/Datos!BF18," - ")</f>
        <v>-0.2358387799564271</v>
      </c>
      <c r="K18" s="857">
        <f>IF(ISNUMBER((((NºAsuntos!C18+NºAsuntos!E18)/NºAsuntos!G18)-Datos!BG18)/Datos!BG18),(((NºAsuntos!C18+NºAsuntos!E18)/NºAsuntos!G18)-Datos!BG18)/Datos!BG18," - ")</f>
        <v>2.3063346689563037E-2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0.15353697749196141</v>
      </c>
      <c r="C19" s="802">
        <f>IF(ISNUMBER(
   IF(J_V="SI",(Datos!J19-Datos!T19)/Datos!T19,(Datos!J19+Datos!Z19-(Datos!T19+Datos!AH19))/(Datos!T19+Datos!AH19))
     ),IF(J_V="SI",(Datos!J19-Datos!T19)/Datos!T19,(Datos!J19+Datos!Z19-(Datos!T19+Datos!AH19))/(Datos!T19+Datos!AH19))," - ")</f>
        <v>0.12</v>
      </c>
      <c r="D19" s="802">
        <f>IF(ISNUMBER(
   IF(J_V="SI",(Datos!K19-Datos!U19)/Datos!U19,(Datos!K19+Datos!AA19-(Datos!U19+Datos!AI19))/(Datos!U19+Datos!AI19))
     ),IF(J_V="SI",(Datos!K19-Datos!U19)/Datos!U19,(Datos!K19+Datos!AA19-(Datos!U19+Datos!AI19))/(Datos!U19+Datos!AI19))," - ")</f>
        <v>0.16533497234173325</v>
      </c>
      <c r="E19" s="802">
        <f>IF(ISNUMBER(
   IF(J_V="SI",(Datos!L19-Datos!V19)/Datos!V19,(Datos!L19+Datos!AB19-(Datos!V19+Datos!AJ19))/(Datos!V19+Datos!AJ19))
     ),IF(J_V="SI",(Datos!L19-Datos!V19)/Datos!V19,(Datos!L19+Datos!AB19-(Datos!V19+Datos!AJ19))/(Datos!V19+Datos!AJ19))," - ")</f>
        <v>8.6411149825783976E-2</v>
      </c>
      <c r="F19" s="803">
        <f>IF(ISNUMBER((Datos!M19-Datos!W19)/Datos!W19),(Datos!M19-Datos!W19)/Datos!W19," - ")</f>
        <v>0</v>
      </c>
      <c r="G19" s="804">
        <f>IF(ISNUMBER((Datos!N19-Datos!X19)/Datos!X19),(Datos!N19-Datos!X19)/Datos!X19," - ")</f>
        <v>0.11884753901560624</v>
      </c>
      <c r="H19" s="805">
        <f>IF(ISNUMBER((Tasas!B19-Datos!BD19)/Datos!BD19),(Tasas!B19-Datos!BD19)/Datos!BD19," - ")</f>
        <v>4.0477653876547573E-2</v>
      </c>
      <c r="I19" s="806">
        <f>IF(ISNUMBER((Tasas!C19-Datos!BE19)/Datos!BE19),(Tasas!C19-Datos!BE19)/Datos!BE19," - ")</f>
        <v>-6.7726297064055641E-2</v>
      </c>
      <c r="J19" s="807">
        <f>IF(ISNUMBER((Tasas!D19-Datos!BF19)/Datos!BF19),(Tasas!D19-Datos!BF19)/Datos!BF19," - ")</f>
        <v>-0.37608133878724226</v>
      </c>
      <c r="K19" s="807">
        <f>IF(ISNUMBER((Tasas!E19-Datos!BG19)/Datos!BG19),(Tasas!E19-Datos!BG19)/Datos!BG19," - ")</f>
        <v>-2.7141828429171056E-2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vo+5J2ULcS9hUPuORWQSDxs+BRjsDJSXzekmGZylkcsf1gcIWrYSy4V5IKOSfTgy0IydN9oA8zU9ta3cWc+8w==" saltValue="LjbHYawyoUUuyeriE5SO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BALMASEDA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v>
      </c>
      <c r="D10" s="444">
        <f>IF(ISNUMBER('Resol  Asuntos'!D10/NºAsuntos!G10),'Resol  Asuntos'!D10/NºAsuntos!G10," - ")</f>
        <v>0.75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0.93951612903225812</v>
      </c>
      <c r="C12" s="443">
        <f>IF(ISNUMBER(NºAsuntos!I12/NºAsuntos!G12),NºAsuntos!I12/NºAsuntos!G12," - ")</f>
        <v>0.69098712446351929</v>
      </c>
      <c r="D12" s="444">
        <f>IF(ISNUMBER('Resol  Asuntos'!D12/NºAsuntos!G12),'Resol  Asuntos'!D12/NºAsuntos!G12," - ")</f>
        <v>0.22317596566523606</v>
      </c>
      <c r="E12" s="445">
        <f>IF(ISNUMBER((NºAsuntos!C12+NºAsuntos!E12)/NºAsuntos!G12),(NºAsuntos!C12+NºAsuntos!E12)/NºAsuntos!G12," - ")</f>
        <v>1.6909871244635193</v>
      </c>
      <c r="G12" s="463"/>
    </row>
    <row r="13" spans="1:7" ht="14.25" thickTop="1" thickBot="1">
      <c r="A13" s="848" t="str">
        <f>Datos!A13</f>
        <v>TOTAL</v>
      </c>
      <c r="B13" s="858">
        <f>IF(ISNUMBER(NºAsuntos!G13/NºAsuntos!E13),NºAsuntos!G13/NºAsuntos!E13," - ")</f>
        <v>0.93975903614457834</v>
      </c>
      <c r="C13" s="859">
        <f>IF(ISNUMBER(NºAsuntos!I13/NºAsuntos!G13),NºAsuntos!I13/NºAsuntos!G13," - ")</f>
        <v>0.69444444444444442</v>
      </c>
      <c r="D13" s="860">
        <f>IF(ISNUMBER('Resol  Asuntos'!D13/NºAsuntos!G13),'Resol  Asuntos'!D13/NºAsuntos!G13," - ")</f>
        <v>0.22542735042735043</v>
      </c>
      <c r="E13" s="861">
        <f>IF(ISNUMBER((NºAsuntos!C13+NºAsuntos!E13)/NºAsuntos!G13),(NºAsuntos!C13+NºAsuntos!E13)/NºAsuntos!G13," - ")</f>
        <v>1.6944444444444444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0.93898305084745759</v>
      </c>
      <c r="C16" s="443">
        <f>IF(ISNUMBER(NºAsuntos!I16/NºAsuntos!G16),NºAsuntos!I16/NºAsuntos!G16," - ")</f>
        <v>0.97352587244283995</v>
      </c>
      <c r="D16" s="444">
        <f>IF(ISNUMBER('Resol  Asuntos'!D16/NºAsuntos!G16),'Resol  Asuntos'!D16/NºAsuntos!G16," - ")</f>
        <v>0.12876052948255115</v>
      </c>
      <c r="E16" s="445">
        <f>IF(ISNUMBER((NºAsuntos!C16+NºAsuntos!E16)/NºAsuntos!G16),(NºAsuntos!C16+NºAsuntos!E16)/NºAsuntos!G16," - ")</f>
        <v>1.9687123947051746</v>
      </c>
      <c r="G16" s="463"/>
    </row>
    <row r="17" spans="1:7" ht="13.5" thickBot="1">
      <c r="A17" s="402" t="str">
        <f>Datos!A17</f>
        <v>Jdos. Violencia contra la mujer</v>
      </c>
      <c r="B17" s="442">
        <f>IF(ISNUMBER(NºAsuntos!G17/NºAsuntos!E17),NºAsuntos!G17/NºAsuntos!E17," - ")</f>
        <v>0.9555555555555556</v>
      </c>
      <c r="C17" s="443">
        <f>IF(ISNUMBER(NºAsuntos!I17/NºAsuntos!G17),NºAsuntos!I17/NºAsuntos!G17," - ")</f>
        <v>0.77519379844961245</v>
      </c>
      <c r="D17" s="444">
        <f>IF(ISNUMBER('Resol  Asuntos'!D17/NºAsuntos!G17),'Resol  Asuntos'!D17/NºAsuntos!G17," - ")</f>
        <v>0.11627906976744186</v>
      </c>
      <c r="E17" s="445">
        <f>IF(ISNUMBER((NºAsuntos!C17+NºAsuntos!E17)/NºAsuntos!G17),(NºAsuntos!C17+NºAsuntos!E17)/NºAsuntos!G17," - ")</f>
        <v>1.7751937984496124</v>
      </c>
      <c r="G17" s="463"/>
    </row>
    <row r="18" spans="1:7" ht="14.25" thickTop="1" thickBot="1">
      <c r="A18" s="848" t="str">
        <f>Datos!A18</f>
        <v>TOTAL</v>
      </c>
      <c r="B18" s="858">
        <f>IF(ISNUMBER(NºAsuntos!G18/NºAsuntos!E18),NºAsuntos!G18/NºAsuntos!E18," - ")</f>
        <v>0.94117647058823528</v>
      </c>
      <c r="C18" s="859">
        <f>IF(ISNUMBER(NºAsuntos!I18/NºAsuntos!G18),NºAsuntos!I18/NºAsuntos!G18," - ")</f>
        <v>0.94687500000000002</v>
      </c>
      <c r="D18" s="862">
        <f>IF(ISNUMBER('Resol  Asuntos'!D18/NºAsuntos!G18),'Resol  Asuntos'!D18/NºAsuntos!G18," - ")</f>
        <v>0.12708333333333333</v>
      </c>
      <c r="E18" s="861">
        <f>IF(ISNUMBER((NºAsuntos!C18+NºAsuntos!E18)/NºAsuntos!G18),(NºAsuntos!C18+NºAsuntos!E18)/NºAsuntos!G18," - ")</f>
        <v>1.9427083333333333</v>
      </c>
      <c r="G18" s="463"/>
    </row>
    <row r="19" spans="1:7" ht="15.75" customHeight="1" thickTop="1" thickBot="1">
      <c r="A19" s="793" t="str">
        <f>Datos!A19</f>
        <v>TOTAL JURISDICCIONES</v>
      </c>
      <c r="B19" s="808">
        <f>IF(ISNUMBER(NºAsuntos!G19/NºAsuntos!E19),NºAsuntos!G19/NºAsuntos!E19," - ")</f>
        <v>0.94047619047619047</v>
      </c>
      <c r="C19" s="809">
        <f>IF(ISNUMBER(NºAsuntos!I19/NºAsuntos!G19),NºAsuntos!I19/NºAsuntos!G19," - ")</f>
        <v>0.8222573839662447</v>
      </c>
      <c r="D19" s="810">
        <f>IF(ISNUMBER('Resol  Asuntos'!D19/NºAsuntos!G19),'Resol  Asuntos'!D19/NºAsuntos!G19," - ")</f>
        <v>0.17563291139240506</v>
      </c>
      <c r="E19" s="811">
        <f>IF(ISNUMBER((NºAsuntos!C19+NºAsuntos!E19)/NºAsuntos!G19),(NºAsuntos!C19+NºAsuntos!E19)/NºAsuntos!G19," - ")</f>
        <v>1.8201476793248945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6kcywtPux8JjCMbsVL3SSKmOr3WwaxJnKnYTM/9cIftNadC1ZdPnqKmRh+6kLihKURIfX4QreVnTbxE75HPig==" saltValue="yzFOJAvL2ZJy0AffpBbV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BALMASEDA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4</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16.5</v>
      </c>
      <c r="AN10" s="244">
        <f>IF(ISNUMBER('Resol  Asuntos'!D10/NºAsuntos!G10),'Resol  Asuntos'!D10/NºAsuntos!G10," - ")</f>
        <v>0.75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146</v>
      </c>
      <c r="Y12" s="334">
        <f t="shared" si="0"/>
        <v>146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0.93951612903225812</v>
      </c>
      <c r="AM12" s="260">
        <f>IF(ISNUMBER(((NºAsuntos!I12/NºAsuntos!G12)*11)/factor_trimestre),((NºAsuntos!I12/NºAsuntos!G12)*11)/factor_trimestre," - ")</f>
        <v>7.6008583690987122</v>
      </c>
      <c r="AN12" s="244">
        <f>IF(ISNUMBER('Resol  Asuntos'!D12/NºAsuntos!G12),'Resol  Asuntos'!D12/NºAsuntos!G12," - ")</f>
        <v>0.22317596566523606</v>
      </c>
      <c r="AO12" s="245">
        <f>IF(ISNUMBER((NºAsuntos!C12+NºAsuntos!E12)/NºAsuntos!G12),(NºAsuntos!C12+NºAsuntos!E12)/NºAsuntos!G12," - ")</f>
        <v>1.6909871244635193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146</v>
      </c>
      <c r="Y13" s="868">
        <f t="shared" si="4"/>
        <v>150</v>
      </c>
      <c r="Z13" s="868">
        <f t="shared" si="4"/>
        <v>0</v>
      </c>
      <c r="AA13" s="868">
        <f t="shared" si="4"/>
        <v>6</v>
      </c>
      <c r="AB13" s="868">
        <f t="shared" si="4"/>
        <v>555</v>
      </c>
      <c r="AC13" s="868">
        <f t="shared" si="4"/>
        <v>10</v>
      </c>
      <c r="AD13" s="868">
        <f t="shared" si="4"/>
        <v>0</v>
      </c>
      <c r="AE13" s="872">
        <f t="shared" si="4"/>
        <v>0</v>
      </c>
      <c r="AF13" s="865">
        <f t="shared" si="4"/>
        <v>0</v>
      </c>
      <c r="AG13" s="873">
        <f t="shared" si="4"/>
        <v>0</v>
      </c>
      <c r="AH13" s="870">
        <f t="shared" si="4"/>
        <v>0</v>
      </c>
      <c r="AI13" s="865">
        <f t="shared" si="4"/>
        <v>211</v>
      </c>
      <c r="AJ13" s="867">
        <f t="shared" si="4"/>
        <v>0</v>
      </c>
      <c r="AK13" s="870">
        <f>SUBTOTAL(9,AK9:AK12)</f>
        <v>0</v>
      </c>
      <c r="AL13" s="874">
        <f>IF(ISNUMBER(NºAsuntos!G13/NºAsuntos!E13),NºAsuntos!G13/NºAsuntos!E13," - ")</f>
        <v>0.93975903614457834</v>
      </c>
      <c r="AM13" s="874">
        <f>IF(ISNUMBER(((NºAsuntos!I13/NºAsuntos!G13)*11)/factor_trimestre),((NºAsuntos!I13/NºAsuntos!G13)*11)/factor_trimestre," - ")</f>
        <v>7.6388888888888884</v>
      </c>
      <c r="AN13" s="875">
        <f>IF(ISNUMBER('Resol  Asuntos'!D13/NºAsuntos!G13),'Resol  Asuntos'!D13/NºAsuntos!G13," - ")</f>
        <v>0.22542735042735043</v>
      </c>
      <c r="AO13" s="876">
        <f>IF(ISNUMBER((NºAsuntos!C13+NºAsuntos!E13)/NºAsuntos!G13),(NºAsuntos!C13+NºAsuntos!E13)/NºAsuntos!G13," - ")</f>
        <v>1.6944444444444444</v>
      </c>
      <c r="AP13" s="877" t="str">
        <f t="shared" si="2"/>
        <v xml:space="preserve"> - </v>
      </c>
      <c r="AQ13" s="877">
        <f>IF(ISNUMBER((H13-W13+K13)/(F13)),(H13-W13+K13)/(F13)," - ")</f>
        <v>-0.66666666666666663</v>
      </c>
      <c r="AR13" s="878">
        <f>IF(ISNUMBER((Datos!P13-Datos!Q13)/(Datos!R13-Datos!P13+Datos!Q13)),(Datos!P13-Datos!Q13)/(Datos!R13-Datos!P13+Datos!Q13)," - ")</f>
        <v>2.9684601113172542E-2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755</v>
      </c>
      <c r="G16" s="333">
        <f>IF(ISNUMBER(IF(D_I="SI",Datos!I16,Datos!I16+Datos!AC16)),IF(D_I="SI",Datos!I16,Datos!I16+Datos!AC16)," - ")</f>
        <v>751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831</v>
      </c>
      <c r="X16" s="226">
        <f>IF(ISNUMBER(Datos!Q16),Datos!Q16," - ")</f>
        <v>44</v>
      </c>
      <c r="Y16" s="334">
        <f t="shared" ref="Y16:Y17" si="7">SUM(W16:X16)</f>
        <v>875</v>
      </c>
      <c r="Z16" s="335" t="str">
        <f>IF(ISNUMBER(Datos!CC16),Datos!CC16," - ")</f>
        <v xml:space="preserve"> - </v>
      </c>
      <c r="AA16" s="332">
        <f>IF(ISNUMBER(IF(D_I="SI",Datos!L16,Datos!L16+Datos!AF16)),IF(D_I="SI",Datos!L16,Datos!L16+Datos!AF16)," - ")</f>
        <v>809</v>
      </c>
      <c r="AB16" s="334">
        <f>IF(ISNUMBER(Datos!R16),Datos!R16," - ")</f>
        <v>65</v>
      </c>
      <c r="AC16" s="334">
        <f t="shared" si="6"/>
        <v>874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0.93898305084745759</v>
      </c>
      <c r="AM16" s="260">
        <f>IF(ISNUMBER(((NºAsuntos!I16/NºAsuntos!G16)*11)/factor_trimestre),((NºAsuntos!I16/NºAsuntos!G16)*11)/factor_trimestre," - ")</f>
        <v>10.70878459687124</v>
      </c>
      <c r="AN16" s="244">
        <f>IF(ISNUMBER('Resol  Asuntos'!D16/NºAsuntos!G16),'Resol  Asuntos'!D16/NºAsuntos!G16," - ")</f>
        <v>0.12876052948255115</v>
      </c>
      <c r="AO16" s="245">
        <f>IF(ISNUMBER((NºAsuntos!C16+NºAsuntos!E16)/NºAsuntos!G16),(NºAsuntos!C16+NºAsuntos!E16)/NºAsuntos!G16," - ")</f>
        <v>1.9687123947051746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129</v>
      </c>
      <c r="X17" s="226">
        <f>IF(ISNUMBER(Datos!Q17),Datos!Q17," - ")</f>
        <v>0</v>
      </c>
      <c r="Y17" s="334">
        <f t="shared" si="7"/>
        <v>129</v>
      </c>
      <c r="Z17" s="335" t="str">
        <f>IF(ISNUMBER(Datos!CC17),Datos!CC17," - ")</f>
        <v xml:space="preserve"> - </v>
      </c>
      <c r="AA17" s="332">
        <f>IF(ISNUMBER(Datos!L17),Datos!L17,"-")</f>
        <v>100</v>
      </c>
      <c r="AB17" s="334">
        <f>IF(ISNUMBER(Datos!R17),Datos!R17," - ")</f>
        <v>0</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0.9555555555555556</v>
      </c>
      <c r="AM17" s="260">
        <f>IF(ISNUMBER(((NºAsuntos!I17/NºAsuntos!G17)*11)/factor_trimestre),((NºAsuntos!I17/NºAsuntos!G17)*11)/factor_trimestre," - ")</f>
        <v>8.5271317829457374</v>
      </c>
      <c r="AN17" s="244">
        <f>IF(ISNUMBER('Resol  Asuntos'!D17/NºAsuntos!G17),'Resol  Asuntos'!D17/NºAsuntos!G17," - ")</f>
        <v>0.11627906976744186</v>
      </c>
      <c r="AO17" s="245">
        <f>IF(ISNUMBER((NºAsuntos!C17+NºAsuntos!E17)/NºAsuntos!G17),(NºAsuntos!C17+NºAsuntos!E17)/NºAsuntos!G17," - ")</f>
        <v>1.7751937984496124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755</v>
      </c>
      <c r="G18" s="866">
        <f>SUBTOTAL(9,G15:G17)</f>
        <v>845</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960</v>
      </c>
      <c r="X18" s="867">
        <f t="shared" si="11"/>
        <v>44</v>
      </c>
      <c r="Y18" s="868">
        <f t="shared" si="11"/>
        <v>1004</v>
      </c>
      <c r="Z18" s="868">
        <f t="shared" si="11"/>
        <v>0</v>
      </c>
      <c r="AA18" s="868">
        <f t="shared" si="11"/>
        <v>909</v>
      </c>
      <c r="AB18" s="868">
        <f t="shared" si="11"/>
        <v>65</v>
      </c>
      <c r="AC18" s="868">
        <f t="shared" si="11"/>
        <v>974</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0.94117647058823528</v>
      </c>
      <c r="AM18" s="874">
        <f>IF(ISNUMBER(((NºAsuntos!I18/NºAsuntos!G18)*11)/factor_trimestre),((NºAsuntos!I18/NºAsuntos!G18)*11)/factor_trimestre," - ")</f>
        <v>10.415625</v>
      </c>
      <c r="AN18" s="875">
        <f>IF(ISNUMBER('Resol  Asuntos'!D18/NºAsuntos!G18),'Resol  Asuntos'!D18/NºAsuntos!G18," - ")</f>
        <v>0.12708333333333333</v>
      </c>
      <c r="AO18" s="876">
        <f>IF(ISNUMBER((NºAsuntos!C18+NºAsuntos!E18)/NºAsuntos!G18),(NºAsuntos!C18+NºAsuntos!E18)/NºAsuntos!G18," - ")</f>
        <v>1.9427083333333333</v>
      </c>
      <c r="AP18" s="877" t="str">
        <f t="shared" si="2"/>
        <v xml:space="preserve"> - </v>
      </c>
      <c r="AQ18" s="877">
        <f>IF(ISNUMBER((H18-W18+K18)/(F18)),(H18-W18+K18)/(F18)," - ")</f>
        <v>-1.2715231788079471</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761</v>
      </c>
      <c r="G19" s="821">
        <f t="shared" si="13"/>
        <v>851</v>
      </c>
      <c r="H19" s="820">
        <f t="shared" si="13"/>
        <v>0</v>
      </c>
      <c r="I19" s="822">
        <f t="shared" si="13"/>
        <v>0</v>
      </c>
      <c r="J19" s="822">
        <f t="shared" si="13"/>
        <v>0</v>
      </c>
      <c r="K19" s="881">
        <f t="shared" si="13"/>
        <v>0</v>
      </c>
      <c r="L19" s="822">
        <f t="shared" si="13"/>
        <v>196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964</v>
      </c>
      <c r="X19" s="821">
        <f t="shared" si="14"/>
        <v>190</v>
      </c>
      <c r="Y19" s="828">
        <f t="shared" si="14"/>
        <v>1154</v>
      </c>
      <c r="Z19" s="828">
        <f t="shared" si="14"/>
        <v>0</v>
      </c>
      <c r="AA19" s="828">
        <f t="shared" si="14"/>
        <v>915</v>
      </c>
      <c r="AB19" s="828">
        <f t="shared" si="14"/>
        <v>620</v>
      </c>
      <c r="AC19" s="828">
        <f t="shared" si="14"/>
        <v>984</v>
      </c>
      <c r="AD19" s="828">
        <f t="shared" si="14"/>
        <v>0</v>
      </c>
      <c r="AE19" s="830">
        <f t="shared" si="14"/>
        <v>0</v>
      </c>
      <c r="AF19" s="831">
        <f t="shared" si="14"/>
        <v>0</v>
      </c>
      <c r="AG19" s="832">
        <f t="shared" si="14"/>
        <v>0</v>
      </c>
      <c r="AH19" s="830">
        <f t="shared" si="14"/>
        <v>0</v>
      </c>
      <c r="AI19" s="820">
        <f t="shared" si="14"/>
        <v>333</v>
      </c>
      <c r="AJ19" s="820">
        <f t="shared" si="14"/>
        <v>0</v>
      </c>
      <c r="AK19" s="830">
        <f t="shared" si="14"/>
        <v>0</v>
      </c>
      <c r="AL19" s="884">
        <f>IF(ISNUMBER(NºAsuntos!G19/NºAsuntos!E19),NºAsuntos!G19/NºAsuntos!E19," - ")</f>
        <v>0.94047619047619047</v>
      </c>
      <c r="AM19" s="885">
        <f>IF(ISNUMBER(((NºAsuntos!I19/NºAsuntos!G19)*11)/factor_trimestre),((NºAsuntos!I19/NºAsuntos!G19)*11)/factor_trimestre," - ")</f>
        <v>9.044831223628691</v>
      </c>
      <c r="AN19" s="885">
        <f>IF(ISNUMBER('Resol  Asuntos'!D19/NºAsuntos!G19),'Resol  Asuntos'!D19/NºAsuntos!G19," - ")</f>
        <v>0.17563291139240506</v>
      </c>
      <c r="AO19" s="886">
        <f>IF(ISNUMBER((NºAsuntos!C19+NºAsuntos!E19)/NºAsuntos!G19),(NºAsuntos!C19+NºAsuntos!E19)/NºAsuntos!G19," - ")</f>
        <v>1.8201476793248945</v>
      </c>
      <c r="AP19" s="887" t="str">
        <f t="shared" si="2"/>
        <v xml:space="preserve"> - </v>
      </c>
      <c r="AQ19" s="888">
        <f>IF(OR(ISNUMBER(FIND("01",Criterios!A8,1)),ISNUMBER(FIND("02",Criterios!A8,1)),ISNUMBER(FIND("03",Criterios!A8,1)),ISNUMBER(FIND("04",Criterios!A8,1))),(I19-W19+K19)/(F19-K19),(H19-W19+K19)/(F19-K19))</f>
        <v>-1.2667542706964521</v>
      </c>
      <c r="AR19" s="889">
        <f>IF(ISNUMBER((Datos!P19-Datos!Q19)/(Datos!R19-Datos!P19+Datos!Q19)),(Datos!P19-Datos!Q19)/(Datos!R19-Datos!P19+Datos!Q19)," - ")</f>
        <v>9.7719869706840382E-3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432.4353516230297</v>
      </c>
      <c r="G21" s="253">
        <f>IF(ISNUMBER(STDEV(G8:G18)),STDEV(G8:G18),"-")</f>
        <v>420.58685191051796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470.47773592381606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89.917740185126988</v>
      </c>
      <c r="AJ21" s="252">
        <f t="shared" si="18"/>
        <v>0</v>
      </c>
      <c r="AK21" s="254">
        <f t="shared" si="18"/>
        <v>0</v>
      </c>
      <c r="AL21" s="249">
        <f t="shared" si="18"/>
        <v>2.4114019581511176E-2</v>
      </c>
      <c r="AM21" s="250">
        <f t="shared" si="18"/>
        <v>3.3497036514310023</v>
      </c>
      <c r="AN21" s="250">
        <f t="shared" si="18"/>
        <v>0.24420419606868954</v>
      </c>
      <c r="AO21" s="251">
        <f t="shared" si="18"/>
        <v>0.30434458812469201</v>
      </c>
      <c r="AP21" s="291" t="str">
        <f t="shared" si="18"/>
        <v>-</v>
      </c>
      <c r="AQ21" s="292">
        <f t="shared" si="18"/>
        <v>0.42769814137994266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mzvPGMKBozfYAnbDs/DiaoH+4BWfiCTlI5EV+qqjkHP5IQiuF9FYmH9iwBa14Oe2O1TvvW/S0AzsDFycWr9JA==" saltValue="eREVuf8/+uII6zc64Cek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BALMASEDA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3</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0.15555555555555556</v>
      </c>
      <c r="I12" s="350">
        <f>IF(ISNUMBER((Tasas!C12-Datos!BE12)/Datos!BE12),(Tasas!C12-Datos!BE12)/Datos!BE12," - ")</f>
        <v>-0.16347962843200661</v>
      </c>
      <c r="J12" s="349">
        <f>IF(ISNUMBER((Tasas!D12-Datos!BF12)/Datos!BF12),(Tasas!D12-Datos!BF12)/Datos!BF12," - ")</f>
        <v>-0.48267079434320692</v>
      </c>
      <c r="K12" s="351">
        <f>IF(ISNUMBER((Tasas!E12-Datos!BG12)/Datos!BG12),(Tasas!E12-Datos!BG12)/Datos!BG12," - ")</f>
        <v>-7.3952054999451539E-2</v>
      </c>
      <c r="M12" t="e">
        <f>IF(Monitorios="SI",Datos!CE12,0)</f>
        <v>#REF!</v>
      </c>
      <c r="N12" t="e">
        <f>IF(Monitorios="SI",Datos!CF12,0)</f>
        <v>#REF!</v>
      </c>
      <c r="O12" t="e">
        <f>IF(Monitorios="SI",Datos!CG12,0)</f>
        <v>#REF!</v>
      </c>
      <c r="P12" t="e">
        <f>IF(Monitorios="SI",Datos!CH12,0)</f>
        <v>#REF!</v>
      </c>
      <c r="Q12">
        <f>IF(J_V="SI",0,Datos!AG12)</f>
        <v>8</v>
      </c>
      <c r="R12">
        <f>IF(J_V="SI",0,Datos!AH12)</f>
        <v>121</v>
      </c>
      <c r="S12">
        <f>IF(J_V="SI",0,Datos!AI12)</f>
        <v>101</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0.17222222222222222</v>
      </c>
      <c r="I13" s="357">
        <f>IF(ISNUMBER((Tasas!C13-Datos!BE13)/Datos!BE13),(Tasas!C13-Datos!BE13)/Datos!BE13," - ")</f>
        <v>-0.16784369114877587</v>
      </c>
      <c r="J13" s="355">
        <f>IF(ISNUMBER((Tasas!D13-Datos!BF13)/Datos!BF13),(Tasas!D13-Datos!BF13)/Datos!BF13," - ")</f>
        <v>-0.47745201064873199</v>
      </c>
      <c r="K13" s="358">
        <f>IF(ISNUMBER((Tasas!E13-Datos!BG13)/Datos!BG13),(Tasas!E13-Datos!BG13)/Datos!BG13," - ")</f>
        <v>-7.6351409234986706E-2</v>
      </c>
      <c r="M13" t="e">
        <f>IF(Monitorios="SI",Datos!CE13,0)</f>
        <v>#REF!</v>
      </c>
      <c r="N13" t="e">
        <f>IF(Monitorios="SI",Datos!CF13,0)</f>
        <v>#REF!</v>
      </c>
      <c r="O13" t="e">
        <f>IF(Monitorios="SI",Datos!CG13,0)</f>
        <v>#REF!</v>
      </c>
      <c r="P13" t="e">
        <f>IF(Monitorios="SI",Datos!CH13,0)</f>
        <v>#REF!</v>
      </c>
      <c r="Q13">
        <f>IF(J_V="SI",0,Datos!AG13)</f>
        <v>8</v>
      </c>
      <c r="R13">
        <f>IF(J_V="SI",0,Datos!AH13)</f>
        <v>121</v>
      </c>
      <c r="S13">
        <f>IF(J_V="SI",0,Datos!AI13)</f>
        <v>101</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9.3158660844250368E-2</v>
      </c>
      <c r="E16" s="348">
        <f>IF(ISNUMBER(
   IF(D_I="SI",(Datos!J16-Datos!T16)/Datos!T16,(Datos!J16+Datos!AD16-(Datos!T16+Datos!AL16))/(Datos!T16+Datos!AL16))
     ),IF(D_I="SI",(Datos!J16-Datos!T16)/Datos!T16,(Datos!J16+Datos!AD16-(Datos!T16+Datos!AL16))/(Datos!T16+Datos!AL16))," - ")</f>
        <v>1.7241379310344827E-2</v>
      </c>
      <c r="F16" s="348">
        <f>IF(ISNUMBER(
   IF(D_I="SI",(Datos!K16-Datos!U16)/Datos!U16,(Datos!K16+Datos!AE16-(Datos!U16+Datos!AM16))/(Datos!U16+Datos!AM16))
     ),IF(D_I="SI",(Datos!K16-Datos!U16)/Datos!U16,(Datos!K16+Datos!AE16-(Datos!U16+Datos!AM16))/(Datos!U16+Datos!AM16))," - ")</f>
        <v>8.4951456310679609E-3</v>
      </c>
      <c r="G16" s="349">
        <f>IF(ISNUMBER(
   IF(D_I="SI",(Datos!L16-Datos!V16)/Datos!V16,(Datos!L16+Datos!AF16-(Datos!V16+Datos!AN16))/(Datos!V16+Datos!AN16))
     ),IF(D_I="SI",(Datos!L16-Datos!V16)/Datos!V16,(Datos!L16+Datos!AF16-(Datos!V16+Datos!AN16))/(Datos!V16+Datos!AN16))," - ")</f>
        <v>7.7230359520639141E-2</v>
      </c>
      <c r="H16" s="230">
        <f>IF(ISNUMBER((Datos!M16-Datos!W16)/Datos!W16),(Datos!M16-Datos!W16)/Datos!W16," - ")</f>
        <v>-0.25174825174825177</v>
      </c>
      <c r="I16" s="350">
        <f>IF(ISNUMBER((Tasas!C16-Datos!BE16)/Datos!BE16),(Tasas!C16-Datos!BE16)/Datos!BE16," - ")</f>
        <v>6.8156216901331737E-2</v>
      </c>
      <c r="J16" s="349">
        <f>IF(ISNUMBER((Tasas!D16-Datos!BF16)/Datos!BF16),(Tasas!D16-Datos!BF16)/Datos!BF16," - ")</f>
        <v>-0.2580512147299151</v>
      </c>
      <c r="K16" s="351">
        <f>IF(ISNUMBER((Tasas!E16-Datos!BG16)/Datos!BG16),(Tasas!E16-Datos!BG16)/Datos!BG16," - ")</f>
        <v>4.1887612869019812E-2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0.23684210526315788</v>
      </c>
      <c r="E17" s="348">
        <f>IF(ISNUMBER(
   IF(D_I="SI",(Datos!J17-Datos!T17)/Datos!T17,(Datos!J17+Datos!AD17-(Datos!T17+Datos!AL17))/(Datos!T17+Datos!AL17))
     ),IF(D_I="SI",(Datos!J17-Datos!T17)/Datos!T17,(Datos!J17+Datos!AD17-(Datos!T17+Datos!AL17))/(Datos!T17+Datos!AL17))," - ")</f>
        <v>0.18421052631578946</v>
      </c>
      <c r="F17" s="348">
        <f>IF(ISNUMBER(
   IF(D_I="SI",(Datos!K17-Datos!U17)/Datos!U17,(Datos!K17+Datos!AE17-(Datos!U17+Datos!AM17))/(Datos!U17+Datos!AM17))
     ),IF(D_I="SI",(Datos!K17-Datos!U17)/Datos!U17,(Datos!K17+Datos!AE17-(Datos!U17+Datos!AM17))/(Datos!U17+Datos!AM17))," - ")</f>
        <v>0.34375</v>
      </c>
      <c r="G17" s="349">
        <f>IF(ISNUMBER(
   IF(D_I="SI",(Datos!L17-Datos!V17)/Datos!V17,(Datos!L17+Datos!AF17-(Datos!V17+Datos!AN17))/(Datos!V17+Datos!AN17))
     ),IF(D_I="SI",(Datos!L17-Datos!V17)/Datos!V17,(Datos!L17+Datos!AF17-(Datos!V17+Datos!AN17))/(Datos!V17+Datos!AN17))," - ")</f>
        <v>6.3829787234042548E-2</v>
      </c>
      <c r="H17" s="230">
        <f>IF(ISNUMBER((Datos!M17-Datos!W17)/Datos!W17),(Datos!M17-Datos!W17)/Datos!W17," - ")</f>
        <v>0.5</v>
      </c>
      <c r="I17" s="350">
        <f>IF(ISNUMBER((Tasas!C17-Datos!BE17)/Datos!BE17),(Tasas!C17-Datos!BE17)/Datos!BE17," - ")</f>
        <v>-0.20831271647699151</v>
      </c>
      <c r="J17" s="349">
        <f>IF(ISNUMBER((Tasas!D17-Datos!BF17)/Datos!BF17),(Tasas!D17-Datos!BF17)/Datos!BF17," - ")</f>
        <v>0.11627906976744179</v>
      </c>
      <c r="K17" s="351">
        <f>IF(ISNUMBER((Tasas!E17-Datos!BG17)/Datos!BG17),(Tasas!E17-Datos!BG17)/Datos!BG17," - ")</f>
        <v>-0.10305997552019584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0.10747051114023591</v>
      </c>
      <c r="E18" s="354">
        <f>IF(ISNUMBER(
   IF(D_I="SI",(Datos!J18-Datos!T18)/Datos!T18,(Datos!J18+Datos!AD18-(Datos!T18+Datos!AL18))/(Datos!T18+Datos!AL18))
     ),IF(D_I="SI",(Datos!J18-Datos!T18)/Datos!T18,(Datos!J18+Datos!AD18-(Datos!T18+Datos!AL18))/(Datos!T18+Datos!AL18))," - ")</f>
        <v>3.6585365853658534E-2</v>
      </c>
      <c r="F18" s="354">
        <f>IF(ISNUMBER(
   IF(D_I="SI",(Datos!K18-Datos!U18)/Datos!U18,(Datos!K18+Datos!AE18-(Datos!U18+Datos!AM18))/(Datos!U18+Datos!AM18))
     ),IF(D_I="SI",(Datos!K18-Datos!U18)/Datos!U18,(Datos!K18+Datos!AE18-(Datos!U18+Datos!AM18))/(Datos!U18+Datos!AM18))," - ")</f>
        <v>4.3478260869565216E-2</v>
      </c>
      <c r="G18" s="355">
        <f>IF(ISNUMBER(
   IF(D_I="SI",(Datos!L18-Datos!V18)/Datos!V18,(Datos!L18+Datos!AF18-(Datos!V18+Datos!AN18))/(Datos!V18+Datos!AN18))
     ),IF(D_I="SI",(Datos!L18-Datos!V18)/Datos!V18,(Datos!L18+Datos!AF18-(Datos!V18+Datos!AN18))/(Datos!V18+Datos!AN18))," - ")</f>
        <v>7.5739644970414202E-2</v>
      </c>
      <c r="H18" s="356">
        <f>IF(ISNUMBER((Datos!M18-Datos!W18)/Datos!W18),(Datos!M18-Datos!W18)/Datos!W18," - ")</f>
        <v>-0.20261437908496732</v>
      </c>
      <c r="I18" s="357">
        <f>IF(ISNUMBER((Tasas!C18-Datos!BE18)/Datos!BE18),(Tasas!C18-Datos!BE18)/Datos!BE18," - ")</f>
        <v>3.0917159763313665E-2</v>
      </c>
      <c r="J18" s="355">
        <f>IF(ISNUMBER((Tasas!D18-Datos!BF18)/Datos!BF18),(Tasas!D18-Datos!BF18)/Datos!BF18," - ")</f>
        <v>-0.2358387799564271</v>
      </c>
      <c r="K18" s="358">
        <f>IF(ISNUMBER((Tasas!E18-Datos!BG18)/Datos!BG18),(Tasas!E18-Datos!BG18)/Datos!BG18," - ")</f>
        <v>2.3063346689563037E-2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0.15353697749196141</v>
      </c>
      <c r="E19" s="363">
        <f>IF(ISNUMBER(
   IF(J_V="SI",(Datos!J19-Datos!T19)/Datos!T19,(Datos!J19+Datos!Z19-(Datos!T19+Datos!AH19))/(Datos!T19+Datos!AH19))
     ),IF(J_V="SI",(Datos!J19-Datos!T19)/Datos!T19,(Datos!J19+Datos!Z19-(Datos!T19+Datos!AH19))/(Datos!T19+Datos!AH19))," - ")</f>
        <v>0.12</v>
      </c>
      <c r="F19" s="363">
        <f>IF(ISNUMBER(
   IF(J_V="SI",(Datos!K19-Datos!U19)/Datos!U19,(Datos!K19+Datos!AA19-(Datos!U19+Datos!AI19))/(Datos!U19+Datos!AI19))
     ),IF(J_V="SI",(Datos!K19-Datos!U19)/Datos!U19,(Datos!K19+Datos!AA19-(Datos!U19+Datos!AI19))/(Datos!U19+Datos!AI19))," - ")</f>
        <v>0.16533497234173325</v>
      </c>
      <c r="G19" s="364">
        <f>IF(ISNUMBER(
   IF(J_V="SI",(Datos!L19-Datos!V19)/Datos!V19,(Datos!L19+Datos!AB19-(Datos!V19+Datos!AJ19))/(Datos!V19+Datos!AJ19))
     ),IF(J_V="SI",(Datos!L19-Datos!V19)/Datos!V19,(Datos!L19+Datos!AB19-(Datos!V19+Datos!AJ19))/(Datos!V19+Datos!AJ19))," - ")</f>
        <v>8.6411149825783976E-2</v>
      </c>
      <c r="H19" s="365">
        <f>IF(ISNUMBER((Datos!M19-Datos!W19)/Datos!W19),(Datos!M19-Datos!W19)/Datos!W19," - ")</f>
        <v>0</v>
      </c>
      <c r="I19" s="362">
        <f>IF(ISNUMBER((Tasas!C19-Datos!BE19)/Datos!BE19),(Tasas!C19-Datos!BE19)/Datos!BE19," - ")</f>
        <v>-6.7726297064055641E-2</v>
      </c>
      <c r="J19" s="363">
        <f>IF(ISNUMBER((Tasas!D19-Datos!BF19)/Datos!BF19),(Tasas!D19-Datos!BF19)/Datos!BF19," - ")</f>
        <v>-0.37608133878724226</v>
      </c>
      <c r="K19" s="364">
        <f>IF(ISNUMBER((Tasas!E19-Datos!BG19)/Datos!BG19),(Tasas!E19-Datos!BG19)/Datos!BG19," - ")</f>
        <v>-2.7141828429171056E-2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7.0071921032576048E-2</v>
      </c>
      <c r="E21" s="278">
        <f t="shared" si="1"/>
        <v>1.4622297960406945</v>
      </c>
      <c r="F21" s="278">
        <f t="shared" si="1"/>
        <v>0.18429268074186581</v>
      </c>
      <c r="G21" s="279">
        <f t="shared" si="1"/>
        <v>3.6627524109897953E-2</v>
      </c>
      <c r="H21" s="285">
        <f t="shared" si="1"/>
        <v>0.30838288667179664</v>
      </c>
      <c r="I21" s="277">
        <f t="shared" si="1"/>
        <v>0.1275473742541948</v>
      </c>
      <c r="J21" s="278">
        <f t="shared" si="1"/>
        <v>0.24431352468554021</v>
      </c>
      <c r="K21" s="279">
        <f t="shared" si="1"/>
        <v>6.5395795389872072E-2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U86XW91WFoYx/qaLYK04mp9ES9icCNUrjKeF+EBpOdrQJRXOtsGWmZYg4Bi4QLAxeUMhHdWA8dBr2umKC55PA==" saltValue="LQnh5AOTuH3xagFASnMy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4</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7.6008583690987122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755</v>
      </c>
      <c r="D16" s="225">
        <f>IF(ISNUMBER(IF(D_I="SI",Datos!I16,Datos!I16+Datos!AC16)),IF(D_I="SI",Datos!I16,Datos!I16+Datos!AC16)," - ")</f>
        <v>751</v>
      </c>
      <c r="E16" s="226">
        <f>IF(ISNUMBER(IF(D_I="SI",Datos!J16,Datos!J16+Datos!AD16)),IF(D_I="SI",Datos!J16,Datos!J16+Datos!AD16)," - ")</f>
        <v>885</v>
      </c>
      <c r="F16" s="226">
        <f>IF(ISNUMBER(IF(D_I="SI",Datos!K16,Datos!K16+Datos!AE16)),IF(D_I="SI",Datos!K16,Datos!K16+Datos!AE16)," - ")</f>
        <v>831</v>
      </c>
      <c r="G16" s="1034" t="str">
        <f>IF(Datos!E16&lt;&gt;"",Datos!E16,Datos!D16)</f>
        <v>04</v>
      </c>
      <c r="H16" s="227">
        <f>IF(ISNUMBER(IF(D_I="SI",Datos!L16,Datos!L16+Datos!AF16)),IF(D_I="SI",Datos!L16,Datos!L16+Datos!AF16)," - ")</f>
        <v>809</v>
      </c>
      <c r="I16" s="1044" t="str">
        <f>IF(ISNUMBER(Datos!AS16/Datos!BM16),Datos!AS16/Datos!BM16," - ")</f>
        <v xml:space="preserve"> - </v>
      </c>
      <c r="J16" s="1045">
        <f>IF(ISNUMBER(Datos!BY16/Datos!CN16),Datos!BY16/Datos!CN16," - ")</f>
        <v>0</v>
      </c>
      <c r="K16" s="230">
        <f t="shared" si="3"/>
        <v>7.1523178807947022E-2</v>
      </c>
      <c r="L16" s="1025">
        <f>IF(ISNUMBER(NºAsuntos!I16/NºAsuntos!G16),(NºAsuntos!I16/NºAsuntos!G16)*11," - ")</f>
        <v>10.70878459687124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135</v>
      </c>
      <c r="F17" s="226">
        <f>IF(ISNUMBER(IF(D_I="SI",Datos!K17,Datos!K17+Datos!AE17)),IF(D_I="SI",Datos!K17,Datos!K17+Datos!AE17)," - ")</f>
        <v>129</v>
      </c>
      <c r="G17" s="1034" t="str">
        <f>IF(Datos!E17&lt;&gt;"",Datos!E17,Datos!D17)</f>
        <v>37</v>
      </c>
      <c r="H17" s="227">
        <f>IF(ISNUMBER(IF(D_I="SI",Datos!L17,Datos!L17+Datos!AF17)),IF(D_I="SI",Datos!L17,Datos!L17+Datos!AF17)," - ")</f>
        <v>100</v>
      </c>
      <c r="I17" s="1044" t="str">
        <f>IF(ISNUMBER(Datos!AS17/Datos!BM17),Datos!AS17/Datos!BM17," - ")</f>
        <v xml:space="preserve"> - </v>
      </c>
      <c r="J17" s="1045" t="str">
        <f>IF(ISNUMBER((Datos!BY17+Datos!BZ17)/Datos!CN17),(Datos!BY17+Datos!BZ17)/Datos!CN17," - ")</f>
        <v xml:space="preserve"> - </v>
      </c>
      <c r="K17" s="230">
        <f t="shared" si="3"/>
        <v>6.3829787234042548E-2</v>
      </c>
      <c r="L17" s="1025">
        <f>IF(ISNUMBER(NºAsuntos!I17/NºAsuntos!G17),(NºAsuntos!I17/NºAsuntos!G17)*11," - ")</f>
        <v>8.5271317829457374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849</v>
      </c>
      <c r="D18" s="1049">
        <f>SUBTOTAL(9,D15:D17)</f>
        <v>845</v>
      </c>
      <c r="E18" s="1050">
        <f>SUBTOTAL(9,E15:E17)</f>
        <v>1020</v>
      </c>
      <c r="F18" s="1050">
        <f>SUBTOTAL(9,F15:F17)</f>
        <v>960</v>
      </c>
      <c r="G18" s="1052" t="str">
        <f ca="1">INDIRECT(CONCATENATE("G",ROW()-1))</f>
        <v>37</v>
      </c>
      <c r="H18" s="1053">
        <f ca="1">SUMIF(G$14:G17,G18,H$14:H17)</f>
        <v>100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855</v>
      </c>
      <c r="D19" s="1071">
        <f>SUBTOTAL(9,D9:D18)</f>
        <v>851</v>
      </c>
      <c r="E19" s="1072">
        <f>SUBTOTAL(9,E9:E18)</f>
        <v>1024</v>
      </c>
      <c r="F19" s="1072">
        <f>SUBTOTAL(9,F9:F18)</f>
        <v>964</v>
      </c>
      <c r="G19" s="1073"/>
      <c r="H19" s="1074">
        <f ca="1">SUMIF(B9:B18,"TOTAL",H9:H18)</f>
        <v>100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H0yXIOQp6y1V3M0/jYB6lqFc0akpU5yMyAgkgwYRaHmoiMq++P9tOuZtJhKVKTDKzE04nZltKLb18g3zYNLfQ==" saltValue="n/mGEdib6LothhmehZcY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kUXLo4e3YVCwMHRBCgSalwiJ6s+yqhNZvBOkSLdiMyHzRhbJOIkgTHWUjfU3EhoAlCQcZaZ32uyBfxROOO4bg==" saltValue="36HRgfiS3i/dfLIcQgli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4</v>
      </c>
      <c r="K10" s="181">
        <v>4</v>
      </c>
      <c r="L10" s="181">
        <v>6</v>
      </c>
      <c r="M10" s="181">
        <v>3</v>
      </c>
      <c r="N10" s="181">
        <v>0</v>
      </c>
      <c r="O10" s="181">
        <v>0</v>
      </c>
      <c r="P10" s="181">
        <v>0</v>
      </c>
      <c r="Q10" s="181">
        <v>0</v>
      </c>
      <c r="R10" s="181">
        <v>4</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556</v>
      </c>
      <c r="J12" s="183">
        <v>880</v>
      </c>
      <c r="K12" s="183">
        <v>805</v>
      </c>
      <c r="L12" s="183">
        <v>631</v>
      </c>
      <c r="M12" s="183">
        <v>208</v>
      </c>
      <c r="N12" s="183">
        <v>387</v>
      </c>
      <c r="O12" s="181">
        <v>383</v>
      </c>
      <c r="P12" s="183">
        <v>162</v>
      </c>
      <c r="Q12" s="183">
        <v>146</v>
      </c>
      <c r="R12" s="183">
        <v>551</v>
      </c>
      <c r="S12" s="183">
        <v>468</v>
      </c>
      <c r="T12" s="183">
        <v>694</v>
      </c>
      <c r="U12" s="183">
        <v>606</v>
      </c>
      <c r="V12" s="183">
        <v>556</v>
      </c>
      <c r="W12" s="183">
        <v>180</v>
      </c>
      <c r="X12" s="189">
        <v>305</v>
      </c>
      <c r="Y12" s="191">
        <v>28</v>
      </c>
      <c r="Z12" s="181">
        <v>112</v>
      </c>
      <c r="AA12" s="181">
        <v>127</v>
      </c>
      <c r="AB12" s="181">
        <v>13</v>
      </c>
      <c r="AC12" s="183">
        <v>0</v>
      </c>
      <c r="AD12" s="183">
        <v>0</v>
      </c>
      <c r="AE12" s="183">
        <v>0</v>
      </c>
      <c r="AF12" s="189">
        <v>0</v>
      </c>
      <c r="AG12" s="202">
        <v>8</v>
      </c>
      <c r="AH12" s="183">
        <v>121</v>
      </c>
      <c r="AI12" s="183">
        <v>101</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476</v>
      </c>
      <c r="AZ12" s="127">
        <f t="shared" si="1"/>
        <v>815</v>
      </c>
      <c r="BA12" s="127">
        <f t="shared" si="1"/>
        <v>707</v>
      </c>
      <c r="BB12" s="127">
        <f t="shared" si="1"/>
        <v>584</v>
      </c>
      <c r="BC12" s="125">
        <f>IF(ISNUMBER(X12),X12," - ")</f>
        <v>305</v>
      </c>
      <c r="BD12" s="126">
        <f t="shared" si="2"/>
        <v>0.8674846625766871</v>
      </c>
      <c r="BE12" s="127">
        <f t="shared" si="3"/>
        <v>0.82602545968882601</v>
      </c>
      <c r="BF12" s="127">
        <f t="shared" si="4"/>
        <v>0.43140028288543142</v>
      </c>
      <c r="BG12" s="196">
        <f t="shared" si="5"/>
        <v>1.8260254596888261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562</v>
      </c>
      <c r="J13" s="184">
        <f t="shared" si="6"/>
        <v>884</v>
      </c>
      <c r="K13" s="184">
        <f t="shared" si="6"/>
        <v>809</v>
      </c>
      <c r="L13" s="184">
        <f t="shared" si="6"/>
        <v>637</v>
      </c>
      <c r="M13" s="184">
        <f t="shared" si="6"/>
        <v>211</v>
      </c>
      <c r="N13" s="184">
        <f t="shared" si="6"/>
        <v>387</v>
      </c>
      <c r="O13" s="184">
        <f t="shared" si="6"/>
        <v>383</v>
      </c>
      <c r="P13" s="184">
        <f t="shared" si="6"/>
        <v>162</v>
      </c>
      <c r="Q13" s="184">
        <f t="shared" si="6"/>
        <v>146</v>
      </c>
      <c r="R13" s="184">
        <f t="shared" si="6"/>
        <v>555</v>
      </c>
      <c r="S13" s="184">
        <f t="shared" si="6"/>
        <v>473</v>
      </c>
      <c r="T13" s="184">
        <f t="shared" si="6"/>
        <v>695</v>
      </c>
      <c r="U13" s="184">
        <f t="shared" si="6"/>
        <v>606</v>
      </c>
      <c r="V13" s="184">
        <f t="shared" si="6"/>
        <v>562</v>
      </c>
      <c r="W13" s="184">
        <f t="shared" si="6"/>
        <v>180</v>
      </c>
      <c r="X13" s="184">
        <f t="shared" si="6"/>
        <v>305</v>
      </c>
      <c r="Y13" s="184">
        <f t="shared" si="6"/>
        <v>28</v>
      </c>
      <c r="Z13" s="184">
        <f t="shared" si="6"/>
        <v>112</v>
      </c>
      <c r="AA13" s="184">
        <f t="shared" si="6"/>
        <v>127</v>
      </c>
      <c r="AB13" s="184">
        <f t="shared" si="6"/>
        <v>13</v>
      </c>
      <c r="AC13" s="184">
        <f t="shared" si="6"/>
        <v>0</v>
      </c>
      <c r="AD13" s="184">
        <f t="shared" si="6"/>
        <v>0</v>
      </c>
      <c r="AE13" s="184">
        <f t="shared" si="6"/>
        <v>0</v>
      </c>
      <c r="AF13" s="184">
        <f>SUBTOTAL(9,AF9:AF12)</f>
        <v>0</v>
      </c>
      <c r="AG13" s="184">
        <f t="shared" ref="AG13:AT13" si="7">SUBTOTAL(9,AG8:AG12)</f>
        <v>8</v>
      </c>
      <c r="AH13" s="184">
        <f t="shared" si="7"/>
        <v>121</v>
      </c>
      <c r="AI13" s="184">
        <f t="shared" si="7"/>
        <v>101</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481</v>
      </c>
      <c r="AZ13" s="184">
        <f>SUBTOTAL(9,AZ8:AZ12)</f>
        <v>816</v>
      </c>
      <c r="BA13" s="184">
        <f>SUBTOTAL(9,BA8:BA12)</f>
        <v>707</v>
      </c>
      <c r="BB13" s="184">
        <f>SUBTOTAL(9,BB8:BB12)</f>
        <v>590</v>
      </c>
      <c r="BC13" s="184">
        <f>SUBTOTAL(9,BC8:BC12)</f>
        <v>305</v>
      </c>
      <c r="BD13" s="205">
        <f>IF(ISNUMBER(BA13/AZ13),BA13/AZ13," - ")</f>
        <v>0.86642156862745101</v>
      </c>
      <c r="BE13" s="206">
        <f>IF(ISNUMBER(BB13/BA13),BB13/BA13, " - ")</f>
        <v>0.83451202263083446</v>
      </c>
      <c r="BF13" s="206">
        <f>IF(ISNUMBER(BC13/BA13),BC13/BA13, " - ")</f>
        <v>0.43140028288543142</v>
      </c>
      <c r="BG13" s="207">
        <f>IF(ISNUMBER((AY13+AZ13)/BA13),(AY13+AZ13)/BA13," - ")</f>
        <v>1.8345120226308345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751</v>
      </c>
      <c r="J16" s="183">
        <v>885</v>
      </c>
      <c r="K16" s="183">
        <v>831</v>
      </c>
      <c r="L16" s="183">
        <v>809</v>
      </c>
      <c r="M16" s="183">
        <v>107</v>
      </c>
      <c r="N16" s="183">
        <v>482</v>
      </c>
      <c r="O16" s="181">
        <v>0</v>
      </c>
      <c r="P16" s="183">
        <v>34</v>
      </c>
      <c r="Q16" s="183">
        <v>44</v>
      </c>
      <c r="R16" s="183">
        <v>65</v>
      </c>
      <c r="S16" s="183">
        <v>687</v>
      </c>
      <c r="T16" s="183">
        <v>870</v>
      </c>
      <c r="U16" s="183">
        <v>824</v>
      </c>
      <c r="V16" s="183">
        <v>751</v>
      </c>
      <c r="W16" s="183">
        <v>143</v>
      </c>
      <c r="X16" s="189">
        <v>483</v>
      </c>
      <c r="Y16" s="202">
        <v>0</v>
      </c>
      <c r="Z16" s="183">
        <v>0</v>
      </c>
      <c r="AA16" s="183">
        <v>0</v>
      </c>
      <c r="AB16" s="183">
        <v>0</v>
      </c>
      <c r="AC16" s="183">
        <v>0</v>
      </c>
      <c r="AD16" s="183">
        <v>14</v>
      </c>
      <c r="AE16" s="183">
        <v>14</v>
      </c>
      <c r="AF16" s="189">
        <v>0</v>
      </c>
      <c r="AG16" s="202">
        <v>0</v>
      </c>
      <c r="AH16" s="183">
        <v>0</v>
      </c>
      <c r="AI16" s="183">
        <v>0</v>
      </c>
      <c r="AJ16" s="203">
        <v>0</v>
      </c>
      <c r="AK16" s="182">
        <v>0</v>
      </c>
      <c r="AL16" s="183">
        <v>12</v>
      </c>
      <c r="AM16" s="183">
        <v>12</v>
      </c>
      <c r="AN16" s="189">
        <v>0</v>
      </c>
      <c r="AO16" s="259">
        <v>2</v>
      </c>
      <c r="AP16" s="155">
        <v>2</v>
      </c>
      <c r="AQ16" s="155">
        <v>2</v>
      </c>
      <c r="AR16" s="155">
        <v>2</v>
      </c>
      <c r="AS16" s="340" t="s">
        <v>487</v>
      </c>
      <c r="AT16" s="203"/>
      <c r="AU16" s="202"/>
      <c r="AV16" s="203"/>
      <c r="AW16" s="202"/>
      <c r="AX16" s="203"/>
      <c r="AY16" s="126">
        <f t="shared" si="9"/>
        <v>687</v>
      </c>
      <c r="AZ16" s="127">
        <f t="shared" si="9"/>
        <v>870</v>
      </c>
      <c r="BA16" s="127">
        <f t="shared" si="9"/>
        <v>824</v>
      </c>
      <c r="BB16" s="127">
        <f t="shared" si="9"/>
        <v>751</v>
      </c>
      <c r="BC16" s="125">
        <f>IF(ISNUMBER(W16),W16," - ")</f>
        <v>143</v>
      </c>
      <c r="BD16" s="126">
        <f t="shared" ref="BD16" si="11">IF(ISNUMBER(BA16/AZ16),BA16/AZ16," - ")</f>
        <v>0.94712643678160924</v>
      </c>
      <c r="BE16" s="127">
        <f t="shared" ref="BE16" si="12">IF(ISNUMBER(BB16/BA16),BB16/BA16, " - ")</f>
        <v>0.91140776699029125</v>
      </c>
      <c r="BF16" s="127">
        <f t="shared" ref="BF16" si="13">IF(ISNUMBER(BC16/BA16),BC16/BA16, " - ")</f>
        <v>0.17354368932038836</v>
      </c>
      <c r="BG16" s="196">
        <f t="shared" si="10"/>
        <v>1.8895631067961165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135</v>
      </c>
      <c r="K17" s="183">
        <v>129</v>
      </c>
      <c r="L17" s="183">
        <v>100</v>
      </c>
      <c r="M17" s="183">
        <v>15</v>
      </c>
      <c r="N17" s="183">
        <v>63</v>
      </c>
      <c r="O17" s="183">
        <v>0</v>
      </c>
      <c r="P17" s="183">
        <v>0</v>
      </c>
      <c r="Q17" s="183">
        <v>0</v>
      </c>
      <c r="R17" s="183">
        <v>0</v>
      </c>
      <c r="S17" s="183">
        <v>76</v>
      </c>
      <c r="T17" s="183">
        <v>114</v>
      </c>
      <c r="U17" s="183">
        <v>96</v>
      </c>
      <c r="V17" s="183">
        <v>94</v>
      </c>
      <c r="W17" s="183">
        <v>10</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76</v>
      </c>
      <c r="AZ17" s="129">
        <f t="shared" si="14"/>
        <v>114</v>
      </c>
      <c r="BA17" s="129">
        <f t="shared" si="14"/>
        <v>96</v>
      </c>
      <c r="BB17" s="129">
        <f t="shared" si="14"/>
        <v>94</v>
      </c>
      <c r="BC17" s="125">
        <f>IF(ISNUMBER(W17),W17," - ")</f>
        <v>10</v>
      </c>
      <c r="BD17" s="126">
        <f>IF(ISNUMBER(BA17/AZ17),BA17/AZ17," - ")</f>
        <v>0.84210526315789469</v>
      </c>
      <c r="BE17" s="127">
        <f>IF(ISNUMBER(BB17/BA17),BB17/BA17, " - ")</f>
        <v>0.97916666666666663</v>
      </c>
      <c r="BF17" s="127">
        <f>IF(ISNUMBER(BC17/BA17),BC17/BA17, " - ")</f>
        <v>0.10416666666666667</v>
      </c>
      <c r="BG17" s="196">
        <f>IF(ISNUMBER((AY17+AZ17)/BA17),(AY17+AZ17)/BA17," - ")</f>
        <v>1.9791666666666667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845</v>
      </c>
      <c r="J18" s="184">
        <f t="shared" si="15"/>
        <v>1020</v>
      </c>
      <c r="K18" s="184">
        <f t="shared" si="15"/>
        <v>960</v>
      </c>
      <c r="L18" s="184">
        <f t="shared" si="15"/>
        <v>909</v>
      </c>
      <c r="M18" s="184">
        <f t="shared" si="15"/>
        <v>122</v>
      </c>
      <c r="N18" s="184">
        <f t="shared" si="15"/>
        <v>545</v>
      </c>
      <c r="O18" s="184">
        <f t="shared" si="15"/>
        <v>0</v>
      </c>
      <c r="P18" s="184">
        <f t="shared" si="15"/>
        <v>34</v>
      </c>
      <c r="Q18" s="184">
        <f t="shared" si="15"/>
        <v>44</v>
      </c>
      <c r="R18" s="184">
        <f t="shared" si="15"/>
        <v>65</v>
      </c>
      <c r="S18" s="184">
        <f t="shared" si="15"/>
        <v>763</v>
      </c>
      <c r="T18" s="184">
        <f t="shared" si="15"/>
        <v>984</v>
      </c>
      <c r="U18" s="184">
        <f t="shared" si="15"/>
        <v>920</v>
      </c>
      <c r="V18" s="184">
        <f t="shared" si="15"/>
        <v>845</v>
      </c>
      <c r="W18" s="184">
        <f t="shared" si="15"/>
        <v>153</v>
      </c>
      <c r="X18" s="184">
        <f t="shared" si="15"/>
        <v>528</v>
      </c>
      <c r="Y18" s="184">
        <f t="shared" si="15"/>
        <v>0</v>
      </c>
      <c r="Z18" s="184">
        <f t="shared" si="15"/>
        <v>0</v>
      </c>
      <c r="AA18" s="184">
        <f t="shared" si="15"/>
        <v>0</v>
      </c>
      <c r="AB18" s="184">
        <f t="shared" si="15"/>
        <v>0</v>
      </c>
      <c r="AC18" s="184">
        <f t="shared" si="15"/>
        <v>0</v>
      </c>
      <c r="AD18" s="184">
        <f t="shared" si="15"/>
        <v>14</v>
      </c>
      <c r="AE18" s="184">
        <f t="shared" si="15"/>
        <v>14</v>
      </c>
      <c r="AF18" s="184">
        <f t="shared" si="15"/>
        <v>0</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763</v>
      </c>
      <c r="AZ18" s="184">
        <f>SUBTOTAL(9,AZ14:AZ17)</f>
        <v>984</v>
      </c>
      <c r="BA18" s="184">
        <f>SUBTOTAL(9,BA14:BA17)</f>
        <v>920</v>
      </c>
      <c r="BB18" s="184">
        <f>SUBTOTAL(9,BB14:BB17)</f>
        <v>845</v>
      </c>
      <c r="BC18" s="184">
        <f>SUBTOTAL(9,BC14:BC17)</f>
        <v>153</v>
      </c>
      <c r="BD18" s="205">
        <f>IF(ISNUMBER(BA18/AZ18),BA18/AZ18," - ")</f>
        <v>0.93495934959349591</v>
      </c>
      <c r="BE18" s="206">
        <f>IF(ISNUMBER(BB18/BA18),BB18/BA18, " - ")</f>
        <v>0.91847826086956519</v>
      </c>
      <c r="BF18" s="206">
        <f>IF(ISNUMBER(BC18/BA18),BC18/BA18, " - ")</f>
        <v>0.16630434782608697</v>
      </c>
      <c r="BG18" s="207">
        <f>IF(ISNUMBER((AY18+AZ18)/BA18),(AY18+AZ18)/BA18," - ")</f>
        <v>1.8989130434782608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1407</v>
      </c>
      <c r="J19" s="134">
        <f t="shared" si="18"/>
        <v>1904</v>
      </c>
      <c r="K19" s="134">
        <f t="shared" si="18"/>
        <v>1769</v>
      </c>
      <c r="L19" s="134">
        <f t="shared" si="18"/>
        <v>1546</v>
      </c>
      <c r="M19" s="134">
        <f t="shared" si="18"/>
        <v>333</v>
      </c>
      <c r="N19" s="134">
        <f t="shared" si="18"/>
        <v>932</v>
      </c>
      <c r="O19" s="134">
        <f t="shared" si="18"/>
        <v>383</v>
      </c>
      <c r="P19" s="134">
        <f t="shared" si="18"/>
        <v>196</v>
      </c>
      <c r="Q19" s="134">
        <f t="shared" si="18"/>
        <v>190</v>
      </c>
      <c r="R19" s="134">
        <f t="shared" si="18"/>
        <v>620</v>
      </c>
      <c r="S19" s="134">
        <f t="shared" si="18"/>
        <v>1236</v>
      </c>
      <c r="T19" s="134">
        <f t="shared" si="18"/>
        <v>1679</v>
      </c>
      <c r="U19" s="134">
        <f t="shared" si="18"/>
        <v>1526</v>
      </c>
      <c r="V19" s="134">
        <f t="shared" si="18"/>
        <v>1407</v>
      </c>
      <c r="W19" s="134">
        <f t="shared" si="18"/>
        <v>333</v>
      </c>
      <c r="X19" s="134">
        <f t="shared" si="18"/>
        <v>833</v>
      </c>
      <c r="Y19" s="134">
        <f t="shared" si="18"/>
        <v>28</v>
      </c>
      <c r="Z19" s="134">
        <f t="shared" si="18"/>
        <v>112</v>
      </c>
      <c r="AA19" s="134">
        <f t="shared" si="18"/>
        <v>127</v>
      </c>
      <c r="AB19" s="134">
        <f t="shared" si="18"/>
        <v>13</v>
      </c>
      <c r="AC19" s="134">
        <f t="shared" si="18"/>
        <v>0</v>
      </c>
      <c r="AD19" s="134">
        <f t="shared" si="18"/>
        <v>14</v>
      </c>
      <c r="AE19" s="134">
        <f t="shared" si="18"/>
        <v>14</v>
      </c>
      <c r="AF19" s="134">
        <f t="shared" si="18"/>
        <v>0</v>
      </c>
      <c r="AG19" s="134">
        <f t="shared" si="18"/>
        <v>8</v>
      </c>
      <c r="AH19" s="134">
        <f t="shared" si="18"/>
        <v>121</v>
      </c>
      <c r="AI19" s="134">
        <f t="shared" si="18"/>
        <v>101</v>
      </c>
      <c r="AJ19" s="134">
        <f t="shared" si="18"/>
        <v>28</v>
      </c>
      <c r="AK19" s="134">
        <f t="shared" si="18"/>
        <v>0</v>
      </c>
      <c r="AL19" s="134">
        <f t="shared" si="18"/>
        <v>12</v>
      </c>
      <c r="AM19" s="134">
        <f t="shared" si="18"/>
        <v>12</v>
      </c>
      <c r="AN19" s="210">
        <f t="shared" si="18"/>
        <v>0</v>
      </c>
      <c r="AO19" s="211">
        <v>3</v>
      </c>
      <c r="AP19" s="211">
        <v>2</v>
      </c>
      <c r="AQ19" s="211">
        <v>2</v>
      </c>
      <c r="AR19" s="211">
        <v>2</v>
      </c>
      <c r="AS19" s="153">
        <f t="shared" si="18"/>
        <v>0</v>
      </c>
      <c r="AT19" s="153">
        <f t="shared" si="18"/>
        <v>0</v>
      </c>
      <c r="AU19" s="211"/>
      <c r="AV19" s="212"/>
      <c r="AW19" s="211"/>
      <c r="AX19" s="212"/>
      <c r="AY19" s="133">
        <f>SUBTOTAL(9,AY9:AY18)</f>
        <v>1244</v>
      </c>
      <c r="AZ19" s="134">
        <f>SUBTOTAL(9,AZ9:AZ18)</f>
        <v>1800</v>
      </c>
      <c r="BA19" s="134">
        <f>SUBTOTAL(9,BA9:BA18)</f>
        <v>1627</v>
      </c>
      <c r="BB19" s="134">
        <f>SUBTOTAL(9,BB9:BB18)</f>
        <v>1435</v>
      </c>
      <c r="BC19" s="135">
        <f>SUBTOTAL(9,BC9:BC18)</f>
        <v>458</v>
      </c>
      <c r="BD19" s="213">
        <f>IF(ISNUMBER(BA19/AZ19),BA19/AZ19," - ")</f>
        <v>0.90388888888888885</v>
      </c>
      <c r="BE19" s="210">
        <f>IF(ISNUMBER(BB19/BA19),BB19/BA19, " - ")</f>
        <v>0.88199139520590042</v>
      </c>
      <c r="BF19" s="210">
        <f>IF(ISNUMBER(BC19/BA19),BC19/BA19, " - ")</f>
        <v>0.28149969268592501</v>
      </c>
      <c r="BG19" s="135">
        <f>IF(ISNUMBER((AY19+AZ19)/BA19),(AY19+AZ19)/BA19," - ")</f>
        <v>1.8709280885064536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KZ19Wgup0FAtX30TKaLMvFLNXJfNUP7k5+KKaz3Xb3kUVwNdcJ7rNuaPd9CvXJ5z+AYuExFPoP+EcuYBffAzw==" saltValue="hTXjD51meFQOc7I9s6vS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gbiQYoUVK4NifOv7vPu2CjShDwH52gfv3uXMfelgjDURLtCnZG3CB1m01wPgazVr3+ZfTTdODijsDEda0pr/A==" saltValue="UbYuAG3TX9DfbUzSvqsV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BALMASEDA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162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551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387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0.93951612903225812</v>
      </c>
      <c r="BH12" s="260">
        <f>IF(ISNUMBER(((IF(J_V="SI",Datos!L12/Datos!K12,(Datos!L12+Datos!AB12)/(Datos!K12+Datos!AA12)))*11)/factor_trimestre),((IF(J_V="SI",Datos!L12/Datos!K12,(Datos!L12+Datos!AB12)/(Datos!K12+Datos!AA12)))*11)/factor_trimestre," - ")</f>
        <v>7.6008583690987122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2.9906542056074768E-2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162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146</v>
      </c>
      <c r="AD13" s="899">
        <f t="shared" si="1"/>
        <v>0</v>
      </c>
      <c r="AE13" s="899">
        <f t="shared" si="1"/>
        <v>0</v>
      </c>
      <c r="AF13" s="899">
        <f t="shared" si="1"/>
        <v>6</v>
      </c>
      <c r="AG13" s="899">
        <f t="shared" si="1"/>
        <v>0</v>
      </c>
      <c r="AH13" s="899">
        <f t="shared" si="1"/>
        <v>13</v>
      </c>
      <c r="AI13" s="899">
        <f t="shared" si="1"/>
        <v>0</v>
      </c>
      <c r="AJ13" s="899">
        <f t="shared" si="1"/>
        <v>0</v>
      </c>
      <c r="AK13" s="899">
        <f t="shared" si="1"/>
        <v>0</v>
      </c>
      <c r="AL13" s="899">
        <f t="shared" si="1"/>
        <v>0</v>
      </c>
      <c r="AM13" s="899">
        <f t="shared" si="1"/>
        <v>555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211</v>
      </c>
      <c r="BD13" s="899">
        <f t="shared" si="1"/>
        <v>387</v>
      </c>
      <c r="BE13" s="899">
        <f t="shared" si="1"/>
        <v>0</v>
      </c>
      <c r="BF13" s="899">
        <f t="shared" si="1"/>
        <v>0</v>
      </c>
      <c r="BG13" s="899">
        <f>IF(ISNUMBER(Datos!K13/Datos!J13),Datos!K13/Datos!J13," - ")</f>
        <v>0.91515837104072395</v>
      </c>
      <c r="BH13" s="903">
        <f>IF(ISNUMBER(((Datos!L13/Datos!K13)*11)/factor_trimestre),((Datos!L13/Datos!K13)*11)/factor_trimestre," - ")</f>
        <v>8.6613102595797269</v>
      </c>
      <c r="BI13" s="899">
        <f>IF(ISNUMBER('Resol  Asuntos'!D13/NºAsuntos!G13),'Resol  Asuntos'!D13/NºAsuntos!G13," - ")</f>
        <v>0.22542735042735043</v>
      </c>
      <c r="BJ13" s="899" t="str">
        <f>IF(ISNUMBER(Datos!CI13/Datos!CJ13),Datos!CI13/Datos!CJ13," - ")</f>
        <v xml:space="preserve"> - </v>
      </c>
      <c r="BK13" s="899">
        <f>SUBTOTAL(9,BK8:BK12)</f>
        <v>0</v>
      </c>
      <c r="BL13" s="899">
        <f>IF(ISNUMBER((I13-AB13+L13)/(F13)),(I13-AB13+L13)/(F13)," - ")</f>
        <v>-0.66666666666666663</v>
      </c>
      <c r="BM13" s="904">
        <f>SUBTOTAL(9,BM9:BM12)</f>
        <v>2.9906542056074768E-2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755</v>
      </c>
      <c r="G16" s="598">
        <f>IF(ISNUMBER(IF(D_I="SI",Datos!I16,Datos!I16+Datos!AC16)),IF(D_I="SI",Datos!I16,Datos!I16+Datos!AC16)," - ")</f>
        <v>751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831</v>
      </c>
      <c r="AC16" s="226">
        <f>IF(ISNUMBER(Datos!Q16),Datos!Q16," - ")</f>
        <v>44</v>
      </c>
      <c r="AD16" s="334"/>
      <c r="AE16" s="484"/>
      <c r="AF16" s="596">
        <f>IF(ISNUMBER(IF(D_I="SI",Datos!L16,Datos!L16+Datos!AF16)),IF(D_I="SI",Datos!L16,Datos!L16+Datos!AF16)," - ")</f>
        <v>809</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482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0.93898305084745759</v>
      </c>
      <c r="BH16" s="260">
        <f>IF(ISNUMBER(((IF(D_I="SI",Datos!L16/Datos!K16,(Datos!L16+Datos!AF16)/(Datos!K16+Datos!AE16)))*11)/factor_trimestre),((IF(D_I="SI",Datos!L16/Datos!K16,(Datos!L16+Datos!AF16)/(Datos!K16+Datos!AE16)))*11)/factor_trimestre," - ")</f>
        <v>10.70878459687124</v>
      </c>
      <c r="BI16" s="243">
        <f>IF(ISNUMBER('Resol  Asuntos'!D16/NºAsuntos!G16),'Resol  Asuntos'!D16/NºAsuntos!G16," - ")</f>
        <v>0.12876052948255115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129</v>
      </c>
      <c r="AC17" s="226">
        <f>IF(ISNUMBER(Datos!Q17),Datos!Q17," - ")</f>
        <v>0</v>
      </c>
      <c r="AD17" s="334"/>
      <c r="AE17" s="484"/>
      <c r="AF17" s="332">
        <f>IF(ISNUMBER(Datos!L17),Datos!L17,"-")</f>
        <v>100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0.9555555555555556</v>
      </c>
      <c r="BH17" s="260">
        <f>IF(ISNUMBER(((IF(D_I="SI",Datos!L17/Datos!K17,(Datos!L17+Datos!AF17)/(Datos!K17+Datos!AE17)))*11)/factor_trimestre),((IF(D_I="SI",Datos!L17/Datos!K17,(Datos!L17+Datos!AF17)/(Datos!K17+Datos!AE17)))*11)/factor_trimestre," - ")</f>
        <v>8.5271317829457374</v>
      </c>
      <c r="BI17" s="243">
        <f>IF(ISNUMBER('Resol  Asuntos'!D17/NºAsuntos!G17),'Resol  Asuntos'!D17/NºAsuntos!G17," - ")</f>
        <v>0.11627906976744186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755</v>
      </c>
      <c r="G18" s="898">
        <f>SUBTOTAL(9,G15:G17)</f>
        <v>845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960</v>
      </c>
      <c r="AC18" s="899">
        <f t="shared" si="4"/>
        <v>44</v>
      </c>
      <c r="AD18" s="899">
        <f t="shared" si="4"/>
        <v>0</v>
      </c>
      <c r="AE18" s="899">
        <f t="shared" si="4"/>
        <v>0</v>
      </c>
      <c r="AF18" s="899">
        <f t="shared" si="4"/>
        <v>909</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545</v>
      </c>
      <c r="BE18" s="899">
        <f t="shared" si="4"/>
        <v>0</v>
      </c>
      <c r="BF18" s="899">
        <f t="shared" si="4"/>
        <v>0</v>
      </c>
      <c r="BG18" s="899">
        <f>IF(ISNUMBER(Datos!K18/Datos!J18),Datos!K18/Datos!J18," - ")</f>
        <v>0.94117647058823528</v>
      </c>
      <c r="BH18" s="903">
        <f>IF(ISNUMBER(((Datos!L18/Datos!K18)*11)/factor_trimestre),((Datos!L18/Datos!K18)*11)/factor_trimestre," - ")</f>
        <v>10.415625</v>
      </c>
      <c r="BI18" s="899">
        <f>SUBTOTAL(9,BI15:BI17)</f>
        <v>0.24503959924999302</v>
      </c>
      <c r="BJ18" s="899">
        <f>SUBTOTAL(9,BJ15:BJ17)</f>
        <v>0</v>
      </c>
      <c r="BK18" s="899">
        <f>SUBTOTAL(9,BK15:BK17)</f>
        <v>0</v>
      </c>
      <c r="BL18" s="899">
        <f>IF(ISNUMBER((I18-AB18+L18)/(F18)),(I18-AB18+L18)/(F18)," - ")</f>
        <v>-1.2715231788079471</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761</v>
      </c>
      <c r="G19" s="820">
        <f t="shared" si="6"/>
        <v>851</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196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964</v>
      </c>
      <c r="AC19" s="821">
        <f t="shared" si="7"/>
        <v>190</v>
      </c>
      <c r="AD19" s="821">
        <f t="shared" si="7"/>
        <v>0</v>
      </c>
      <c r="AE19" s="821">
        <f t="shared" si="7"/>
        <v>0</v>
      </c>
      <c r="AF19" s="828">
        <f t="shared" si="7"/>
        <v>915</v>
      </c>
      <c r="AG19" s="828">
        <f t="shared" si="7"/>
        <v>0</v>
      </c>
      <c r="AH19" s="828">
        <f t="shared" si="7"/>
        <v>13</v>
      </c>
      <c r="AI19" s="828">
        <f t="shared" si="7"/>
        <v>0</v>
      </c>
      <c r="AJ19" s="821">
        <f t="shared" si="7"/>
        <v>0</v>
      </c>
      <c r="AK19" s="828">
        <f t="shared" si="7"/>
        <v>0</v>
      </c>
      <c r="AL19" s="828">
        <f t="shared" si="7"/>
        <v>0</v>
      </c>
      <c r="AM19" s="828">
        <f t="shared" si="7"/>
        <v>620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333</v>
      </c>
      <c r="BD19" s="820">
        <f t="shared" si="7"/>
        <v>932</v>
      </c>
      <c r="BE19" s="820">
        <f t="shared" si="7"/>
        <v>0</v>
      </c>
      <c r="BF19" s="830">
        <f t="shared" si="7"/>
        <v>0</v>
      </c>
      <c r="BG19" s="915">
        <f>IF(ISNUMBER(Datos!K19/Datos!J19),Datos!K19/Datos!J19," - ")</f>
        <v>0.92909663865546221</v>
      </c>
      <c r="BH19" s="915">
        <f>IF(ISNUMBER(((Datos!L19/Datos!K19)*11)/factor_trimestre),((Datos!L19/Datos!K19)*11)/factor_trimestre," - ")</f>
        <v>9.6133408705483312</v>
      </c>
      <c r="BI19" s="813">
        <f>IF(ISNUMBER(Datos!J19/Datos!I19),Datos!J19/Datos!I19," - ")</f>
        <v>1.3532338308457712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-1.2667542706964521</v>
      </c>
      <c r="BM19" s="889">
        <f>IF(ISNUMBER((Datos!P19-Datos!Q19+R19)/(Datos!R19-Datos!P19+Datos!Q19-R19)),(Datos!P19-Datos!Q19+R19)/(Datos!R19-Datos!P19+Datos!Q19-R19)," - ")</f>
        <v>9.7719869706840382E-3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432.4353516230297</v>
      </c>
      <c r="G21" s="552">
        <f>IF(ISNUMBER(STDEV(G8:G18)),STDEV(G8:G18),"-")</f>
        <v>420.58685191051796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470.47773592381606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89.917740185126988</v>
      </c>
      <c r="BD21" s="551"/>
      <c r="BE21" s="551">
        <f>IF(ISNUMBER(STDEV(BE8:BE18)),STDEV(BE8:BE18),"-")</f>
        <v>0</v>
      </c>
      <c r="BF21" s="556">
        <f>IF(ISNUMBER(STDEV(BF8:BF18)),STDEV(BF8:BF18),"-")</f>
        <v>0</v>
      </c>
      <c r="BG21" s="775">
        <f>IF(ISNUMBER(STDEV(BG8:BG18)),STDEV(BG8:BG18),"-")</f>
        <v>2.8420236891849596E-2</v>
      </c>
      <c r="BH21" s="776">
        <f>IF(ISNUMBER(STDEV(BH8:BH18)),STDEV(BH8:BH18),"-")</f>
        <v>3.2146984923081239</v>
      </c>
      <c r="BI21" s="249">
        <f>IF(ISNUMBER(STDEV(BI8:BI18)),STDEV(BI8:BI18),"-")</f>
        <v>6.5763683368113418E-2</v>
      </c>
      <c r="BJ21" s="230" t="str">
        <f>IF(ISNUMBER(BL21/BM21),BL21/BM21," - ")</f>
        <v xml:space="preserve"> - </v>
      </c>
      <c r="BK21" s="575"/>
      <c r="BL21" s="559">
        <f>IF(ISNUMBER(STDEV(BL8:BL18)),STDEV(BL8:BL18),"-")</f>
        <v>0.42769814137994266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a0Gji3S9XvdYMAk8Kg8BEpEndmkVVNSaV8mRlykfOlqDCdg7QsHcK/cD3RZX8qaaRvb/eeWiGK0Q/13CxeyEQ==" saltValue="f1SSwk1zbi8yGFq1MWrc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BALMASEDA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146</v>
      </c>
      <c r="AA12" s="332" t="str">
        <f>IF(ISNUMBER(IF(J_V="SI",Datos!L12,Datos!L12+Datos!AB12)-IF(Monitorios="SI",Datos!CD12,0)),
                          IF(J_V="SI",Datos!L12,Datos!L12+Datos!AB12)-IF(Monitorios="SI",Datos!CD12,0),
                          " - ")</f>
        <v xml:space="preserve"> - </v>
      </c>
      <c r="AB12" s="334"/>
      <c r="AC12" s="334"/>
      <c r="AD12" s="484"/>
      <c r="AE12" s="484">
        <f>IF(ISNUMBER(Datos!R12),Datos!R12," - ")</f>
        <v>551</v>
      </c>
      <c r="AF12" s="229" t="str">
        <f>IF(ISNUMBER(Datos!BV12),Datos!BV12," - ")</f>
        <v xml:space="preserve"> - </v>
      </c>
      <c r="AG12" s="225" t="str">
        <f>IF(ISNUMBER(Datos!DV12),Datos!DV12," - ")</f>
        <v xml:space="preserve"> - </v>
      </c>
      <c r="AH12" s="298"/>
      <c r="AI12" s="227"/>
      <c r="AJ12" s="225">
        <f>IF(ISNUMBER(Datos!M12),Datos!M12," - ")</f>
        <v>208</v>
      </c>
      <c r="AK12" s="229">
        <f>IF(ISNUMBER(Datos!N12),Datos!N12," - ")</f>
        <v>387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7.6008583690987122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2.9906542056074768E-2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146</v>
      </c>
      <c r="AA13" s="900">
        <f t="shared" si="2"/>
        <v>6</v>
      </c>
      <c r="AB13" s="900">
        <f t="shared" si="2"/>
        <v>0</v>
      </c>
      <c r="AC13" s="900">
        <f t="shared" si="2"/>
        <v>0</v>
      </c>
      <c r="AD13" s="900">
        <f t="shared" si="2"/>
        <v>0</v>
      </c>
      <c r="AE13" s="900">
        <f t="shared" si="2"/>
        <v>555</v>
      </c>
      <c r="AF13" s="908">
        <f t="shared" si="2"/>
        <v>0</v>
      </c>
      <c r="AG13" s="908">
        <f t="shared" si="2"/>
        <v>0</v>
      </c>
      <c r="AH13" s="908">
        <f t="shared" si="2"/>
        <v>0</v>
      </c>
      <c r="AI13" s="908">
        <f t="shared" si="2"/>
        <v>0</v>
      </c>
      <c r="AJ13" s="908">
        <f t="shared" si="2"/>
        <v>211</v>
      </c>
      <c r="AK13" s="908">
        <f t="shared" si="2"/>
        <v>387</v>
      </c>
      <c r="AL13" s="908">
        <f t="shared" si="2"/>
        <v>0</v>
      </c>
      <c r="AM13" s="908">
        <f t="shared" si="2"/>
        <v>0</v>
      </c>
      <c r="AN13" s="908">
        <f t="shared" si="2"/>
        <v>0</v>
      </c>
      <c r="AO13" s="904">
        <f>IF(ISNUMBER(((NºAsuntos!I13/NºAsuntos!G13)*11)/factor_trimestre),((NºAsuntos!I13/NºAsuntos!G13)*11)/factor_trimestre," - ")</f>
        <v>7.6388888888888884</v>
      </c>
      <c r="AP13" s="910" t="str">
        <f>IF(ISNUMBER(Datos!CI13/Datos!CJ13),Datos!CI13/Datos!CJ13," - ")</f>
        <v xml:space="preserve"> - </v>
      </c>
      <c r="AQ13" s="928">
        <f t="shared" ref="AQ13:AV13" si="3">SUBTOTAL(9,AQ9:AQ12)</f>
        <v>0</v>
      </c>
      <c r="AR13" s="928">
        <f t="shared" si="3"/>
        <v>2.9906542056074768E-2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755</v>
      </c>
      <c r="G16" s="225">
        <f>IF(ISNUMBER(IF(D_I="SI",Datos!I16,Datos!I16+Datos!AC16)),IF(D_I="SI",Datos!I16,Datos!I16+Datos!AC16)," - ")</f>
        <v>751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831</v>
      </c>
      <c r="Z16" s="619">
        <f>IF(ISNUMBER(Datos!Q16),Datos!Q16," - ")</f>
        <v>44</v>
      </c>
      <c r="AA16" s="332">
        <f>IF(ISNUMBER(IF(D_I="SI",Datos!L16,Datos!L16+Datos!AF16)),IF(D_I="SI",Datos!L16,Datos!L16+Datos!AF16)," - ")</f>
        <v>809</v>
      </c>
      <c r="AB16" s="334"/>
      <c r="AC16" s="334"/>
      <c r="AD16" s="484"/>
      <c r="AE16" s="484">
        <f>IF(ISNUMBER(Datos!R16),Datos!R16," - ")</f>
        <v>65</v>
      </c>
      <c r="AF16" s="229" t="str">
        <f>IF(ISNUMBER(Datos!BV16),Datos!BV16," - ")</f>
        <v xml:space="preserve"> - </v>
      </c>
      <c r="AG16" s="225"/>
      <c r="AH16" s="298"/>
      <c r="AI16" s="227"/>
      <c r="AJ16" s="225">
        <f>IF(ISNUMBER(Datos!M16),Datos!M16," - ")</f>
        <v>107</v>
      </c>
      <c r="AK16" s="229">
        <f>IF(ISNUMBER(Datos!N16),Datos!N16," - ")</f>
        <v>482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10.70878459687124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129</v>
      </c>
      <c r="Z17" s="619">
        <f>IF(ISNUMBER(Datos!Q17),Datos!Q17," - ")</f>
        <v>0</v>
      </c>
      <c r="AA17" s="332">
        <f>IF(ISNUMBER(Datos!L17),Datos!L17,"-")</f>
        <v>100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8.5271317829457374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755</v>
      </c>
      <c r="G18" s="898">
        <f>SUBTOTAL(9,G15:G17)</f>
        <v>845</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960</v>
      </c>
      <c r="Z18" s="932">
        <f t="shared" si="5"/>
        <v>44</v>
      </c>
      <c r="AA18" s="932">
        <f t="shared" si="5"/>
        <v>909</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122</v>
      </c>
      <c r="AK18" s="932">
        <f t="shared" si="5"/>
        <v>545</v>
      </c>
      <c r="AL18" s="932">
        <f t="shared" si="5"/>
        <v>0</v>
      </c>
      <c r="AM18" s="932">
        <f t="shared" si="5"/>
        <v>0</v>
      </c>
      <c r="AN18" s="932">
        <f t="shared" si="5"/>
        <v>0</v>
      </c>
      <c r="AO18" s="934">
        <f>IF(ISNUMBER(((NºAsuntos!I18/NºAsuntos!G18)*11)/factor_trimestre),((NºAsuntos!I18/NºAsuntos!G18)*11)/factor_trimestre," - ")</f>
        <v>10.415625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761</v>
      </c>
      <c r="G19" s="820">
        <f t="shared" si="7"/>
        <v>851</v>
      </c>
      <c r="H19" s="821">
        <f t="shared" si="7"/>
        <v>0</v>
      </c>
      <c r="I19" s="820">
        <f t="shared" si="7"/>
        <v>0</v>
      </c>
      <c r="J19" s="822">
        <f t="shared" si="7"/>
        <v>0</v>
      </c>
      <c r="K19" s="820">
        <f t="shared" si="7"/>
        <v>0</v>
      </c>
      <c r="L19" s="823">
        <f t="shared" si="7"/>
        <v>0</v>
      </c>
      <c r="M19" s="820">
        <f t="shared" si="7"/>
        <v>0</v>
      </c>
      <c r="N19" s="821">
        <f t="shared" si="7"/>
        <v>196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964</v>
      </c>
      <c r="Z19" s="827">
        <f t="shared" si="8"/>
        <v>190</v>
      </c>
      <c r="AA19" s="828">
        <f t="shared" si="8"/>
        <v>915</v>
      </c>
      <c r="AB19" s="828">
        <f t="shared" si="8"/>
        <v>0</v>
      </c>
      <c r="AC19" s="828">
        <f t="shared" si="8"/>
        <v>0</v>
      </c>
      <c r="AD19" s="829">
        <f t="shared" si="8"/>
        <v>0</v>
      </c>
      <c r="AE19" s="829">
        <f t="shared" si="8"/>
        <v>620</v>
      </c>
      <c r="AF19" s="830">
        <f t="shared" si="8"/>
        <v>0</v>
      </c>
      <c r="AG19" s="831">
        <f t="shared" si="8"/>
        <v>0</v>
      </c>
      <c r="AH19" s="832">
        <f t="shared" si="8"/>
        <v>0</v>
      </c>
      <c r="AI19" s="830">
        <f t="shared" si="8"/>
        <v>0</v>
      </c>
      <c r="AJ19" s="820">
        <f t="shared" si="8"/>
        <v>333</v>
      </c>
      <c r="AK19" s="820">
        <f t="shared" si="8"/>
        <v>932</v>
      </c>
      <c r="AL19" s="820">
        <f t="shared" si="8"/>
        <v>0</v>
      </c>
      <c r="AM19" s="833">
        <f t="shared" si="8"/>
        <v>0</v>
      </c>
      <c r="AN19" s="823">
        <f>IF(ISNUMBER(Datos!K19/Datos!J19),Datos!K19/Datos!J19," - ")</f>
        <v>0.92909663865546221</v>
      </c>
      <c r="AO19" s="823">
        <f>IF(ISNUMBER(FIND("06",Criterios!A8,1)),(IF(ISNUMBER(((Datos!R19/Datos!Q19)*11)/factor_trimestre),((Datos!R19/Datos!Q19)*11)/factor_trimestre," - ")),(IF(ISNUMBER(((Datos!L19/Datos!K19)*11)/factor_trimestre),((Datos!L19/Datos!K19)*11)/factor_trimestre," - ")))</f>
        <v>9.6133408705483312</v>
      </c>
      <c r="AP19" s="834" t="str">
        <f>IF(ISNUMBER(Datos!CI19/Datos!CJ19),Datos!CI19/Datos!CJ19," - ")</f>
        <v xml:space="preserve"> - </v>
      </c>
      <c r="AQ19" s="834">
        <f>IF(OR(ISNUMBER(FIND("01",Criterios!A8,1)),ISNUMBER(FIND("02",Criterios!A8,1)),ISNUMBER(FIND("03",Criterios!A8,1)),ISNUMBER(FIND("04",Criterios!A8,1))),(J19-Y19+K19)/(F19-K19),(I19-Y19+K19)/(F19-K19))</f>
        <v>-1.2667542706964521</v>
      </c>
      <c r="AR19" s="834">
        <f>IF(ISNUMBER((Datos!P19-Datos!Q19+O19)/(Datos!R19-Datos!P19+Datos!Q19-O19)),(Datos!P19-Datos!Q19+O19)/(Datos!R19-Datos!P19+Datos!Q19-O19)," - ")</f>
        <v>9.7719869706840382E-3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432.4353516230297</v>
      </c>
      <c r="G21" s="552">
        <f>IF(ISNUMBER(STDEV(G8:G18)),STDEV(G8:G18),"-")</f>
        <v>420.58685191051796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89.917740185126988</v>
      </c>
      <c r="AK21" s="252"/>
      <c r="AL21" s="252">
        <f>IF(ISNUMBER(STDEV(AL8:AL18)),STDEV(AL8:AL18),"-")</f>
        <v>0</v>
      </c>
      <c r="AM21" s="254">
        <f>IF(ISNUMBER(STDEV(AM8:AM18)),STDEV(AM8:AM18),"-")</f>
        <v>0</v>
      </c>
      <c r="AN21" s="539">
        <f>IF(ISNUMBER(STDEV(AN8:AN18)),STDEV(AN8:AN18),"-")</f>
        <v>0</v>
      </c>
      <c r="AO21" s="540">
        <f>IF(ISNUMBER(STDEV(AO8:AO18)),STDEV(AO8:AO18),"-")</f>
        <v>3.3497036514310023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U+pF1BcNS6tzS5tQK2pKCBvl5cLwEwVm4zUhbY4mazXlHY1QtviKfQeLdnCKUt2Lro4uaI0ISpjvb/oA8Dy9Q==" saltValue="ElLCTIhF1BrKb6L9sqJX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zLzx6tkRgFSgU/VXrqxXP0y/F2CEfQuFk5r+2jdl5yqijzQ0MF5Z+TgVetJzkaScE3UxTtcfE9/b0PV2H7oig==" saltValue="kYzyl3wU1MeosgtqYjXv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i9ZazZGm9AEHztWH+2fZYpGiqHj5n2RSQQQ8VSaUDtj+2l7/b4RXqb4HWNbJo2VPtbUtUxPuC4GtYspr4mUrA==" saltValue="5lZxYtx2GOzqxS213OTd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BALMASEDA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0.22542735042735043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0.15940120815209566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acTKrdmWF4iwp24KIv+n+gzkzXxkPHHp7S1H+61sU+K7A4qx2ZM2Ugr1NYCmtH7DxxKYPWVETYD44JdXHJ6Uw==" saltValue="cneSSgQLUNsUsYEl93P+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WY8K1txVCTsn/nEhx27p0/GJu+3twGZfAKlq8QUxp3Sj97UmreRh60hsL6IjLY/fPMZLRYcNOdZw9UqNNWI0g==" saltValue="JMg+ptdaDZ3ecg/8ZNAL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BALMASEDA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387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7.6008583690987122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2.9906542056074768E-2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146</v>
      </c>
      <c r="AE13" s="939">
        <f t="shared" si="1"/>
        <v>0</v>
      </c>
      <c r="AF13" s="939">
        <f t="shared" si="1"/>
        <v>6</v>
      </c>
      <c r="AG13" s="939">
        <f t="shared" si="1"/>
        <v>0</v>
      </c>
      <c r="AH13" s="939">
        <f t="shared" si="1"/>
        <v>551</v>
      </c>
      <c r="AI13" s="939">
        <f t="shared" si="1"/>
        <v>0</v>
      </c>
      <c r="AJ13" s="939">
        <f t="shared" si="1"/>
        <v>0</v>
      </c>
      <c r="AK13" s="939">
        <f t="shared" si="1"/>
        <v>0</v>
      </c>
      <c r="AL13" s="939">
        <f t="shared" si="1"/>
        <v>211</v>
      </c>
      <c r="AM13" s="939">
        <f t="shared" si="1"/>
        <v>387</v>
      </c>
      <c r="AN13" s="939">
        <f t="shared" si="1"/>
        <v>0</v>
      </c>
      <c r="AO13" s="939">
        <f t="shared" si="1"/>
        <v>0</v>
      </c>
      <c r="AP13" s="944">
        <f>IF(ISNUMBER(((Datos!L13/Datos!K13)*11)/factor_trimestre),((Datos!L13/Datos!K13)*11)/factor_trimestre," - ")</f>
        <v>8.6613102595797269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2.9906542056074768E-2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10.415625</v>
      </c>
      <c r="AQ18" s="944">
        <f>IF(ISNUMBER(((Datos!M18/Datos!L18)*11)/factor_trimestre),((Datos!M18/Datos!L18)*11)/factor_trimestre," - ")</f>
        <v>1.4763476347634763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-2.6785714285714284E-2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146</v>
      </c>
      <c r="AE19" s="957">
        <f t="shared" si="5"/>
        <v>0</v>
      </c>
      <c r="AF19" s="958">
        <f t="shared" si="5"/>
        <v>6</v>
      </c>
      <c r="AG19" s="958">
        <f t="shared" si="5"/>
        <v>0</v>
      </c>
      <c r="AH19" s="958">
        <f t="shared" si="5"/>
        <v>551</v>
      </c>
      <c r="AI19" s="958">
        <f t="shared" si="5"/>
        <v>0</v>
      </c>
      <c r="AJ19" s="959">
        <f t="shared" si="5"/>
        <v>0</v>
      </c>
      <c r="AK19" s="959">
        <f t="shared" si="5"/>
        <v>0</v>
      </c>
      <c r="AL19" s="951">
        <f t="shared" si="5"/>
        <v>211</v>
      </c>
      <c r="AM19" s="951">
        <f t="shared" si="5"/>
        <v>387</v>
      </c>
      <c r="AN19" s="951">
        <f t="shared" si="5"/>
        <v>0</v>
      </c>
      <c r="AO19" s="951">
        <f t="shared" si="5"/>
        <v>0</v>
      </c>
      <c r="AP19" s="951">
        <f>IF(ISNUMBER(((Datos!L19/Datos!K19)*11)/factor_trimestre),((Datos!L19/Datos!K19)*11)/factor_trimestre," - ")</f>
        <v>9.6133408705483312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9.7719869706840382E-3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120.10134609292825</v>
      </c>
      <c r="AM21" s="736"/>
      <c r="AN21" s="736">
        <f>IF(ISNUMBER(STDEV(AN8:AN18)),STDEV(AN8:AN18),"-")</f>
        <v>0</v>
      </c>
      <c r="AO21" s="742">
        <f>IF(ISNUMBER(STDEV(AO8:AO18)),STDEV(AO8:AO18),"-")</f>
        <v>0</v>
      </c>
      <c r="AP21" s="779">
        <f>IF(ISNUMBER(STDEV(AP8:AP18)),STDEV(AP8:AP18),"-")</f>
        <v>3.976854780696172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atDRssPetJTKcPVNtRGAxV452IVIuSOOvj4w1oUqIC7KNoxTTTpAtR9D3iC0ydUCmJIzfXa1vXnuPcrkZFHow==" saltValue="NsBmT5Ks0oamhNLOmZSs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